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.muldabekov\Desktop\Акжол\"/>
    </mc:Choice>
  </mc:AlternateContent>
  <xr:revisionPtr revIDLastSave="0" documentId="13_ncr:1_{476E6811-879E-4012-8191-E4C23D231556}" xr6:coauthVersionLast="47" xr6:coauthVersionMax="47" xr10:uidLastSave="{00000000-0000-0000-0000-000000000000}"/>
  <bookViews>
    <workbookView xWindow="-60" yWindow="0" windowWidth="14820" windowHeight="15585" activeTab="4" xr2:uid="{00000000-000D-0000-FFFF-FFFF00000000}"/>
  </bookViews>
  <sheets>
    <sheet name="Лист1" sheetId="1" r:id="rId1"/>
    <sheet name="Лист2" sheetId="2" r:id="rId2"/>
    <sheet name="Лист3" sheetId="3" r:id="rId3"/>
    <sheet name="Лист3 (2)" sheetId="4" r:id="rId4"/>
    <sheet name="Лист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4" i="5" l="1"/>
  <c r="F282" i="5"/>
  <c r="F280" i="5"/>
  <c r="F278" i="5"/>
  <c r="F276" i="5"/>
  <c r="F273" i="5"/>
  <c r="F272" i="5"/>
  <c r="F270" i="5"/>
  <c r="F267" i="5"/>
  <c r="F265" i="5"/>
  <c r="F264" i="5"/>
  <c r="F257" i="5"/>
  <c r="F256" i="5"/>
  <c r="F254" i="5"/>
  <c r="F253" i="5"/>
  <c r="F251" i="5"/>
  <c r="F250" i="5"/>
  <c r="F248" i="5"/>
  <c r="F247" i="5"/>
  <c r="F245" i="5"/>
  <c r="F244" i="5"/>
  <c r="F242" i="5"/>
  <c r="F241" i="5"/>
  <c r="F239" i="5"/>
  <c r="F238" i="5"/>
  <c r="F235" i="5"/>
  <c r="F234" i="5"/>
  <c r="F230" i="5"/>
  <c r="F227" i="5"/>
  <c r="F226" i="5"/>
  <c r="F225" i="5"/>
  <c r="F224" i="5"/>
  <c r="F223" i="5"/>
  <c r="F222" i="5"/>
  <c r="F210" i="5"/>
  <c r="F207" i="5"/>
  <c r="F205" i="5"/>
  <c r="F204" i="5"/>
  <c r="F202" i="5"/>
  <c r="F201" i="5"/>
  <c r="F198" i="5"/>
  <c r="F199" i="5"/>
  <c r="F196" i="5"/>
  <c r="F195" i="5"/>
  <c r="F193" i="5"/>
  <c r="F192" i="5"/>
  <c r="F190" i="5"/>
  <c r="F189" i="5"/>
  <c r="F188" i="5"/>
  <c r="F184" i="5"/>
  <c r="F181" i="5"/>
  <c r="F176" i="5"/>
  <c r="F175" i="5"/>
  <c r="F179" i="5"/>
  <c r="F178" i="5"/>
  <c r="F171" i="5"/>
  <c r="F168" i="5"/>
  <c r="F166" i="5"/>
  <c r="F165" i="5"/>
  <c r="F162" i="5"/>
  <c r="F160" i="5"/>
  <c r="F159" i="5"/>
  <c r="F157" i="5"/>
  <c r="F156" i="5"/>
  <c r="F152" i="5"/>
  <c r="F149" i="5"/>
  <c r="F145" i="5"/>
  <c r="F142" i="5"/>
  <c r="F138" i="5"/>
  <c r="F137" i="5"/>
  <c r="F135" i="5"/>
  <c r="F134" i="5"/>
  <c r="F132" i="5"/>
  <c r="F129" i="5"/>
  <c r="F128" i="5"/>
  <c r="F124" i="5"/>
  <c r="F121" i="5"/>
  <c r="F115" i="5"/>
  <c r="F111" i="5"/>
  <c r="F106" i="5"/>
  <c r="F105" i="5"/>
  <c r="F103" i="5"/>
  <c r="F102" i="5"/>
  <c r="F100" i="5"/>
  <c r="F99" i="5"/>
  <c r="F97" i="5"/>
  <c r="F96" i="5"/>
  <c r="F94" i="5"/>
  <c r="F93" i="5"/>
  <c r="F91" i="5"/>
  <c r="F90" i="5"/>
  <c r="F86" i="5"/>
  <c r="F83" i="5"/>
  <c r="F79" i="5" l="1"/>
  <c r="F76" i="5"/>
  <c r="F72" i="5"/>
  <c r="F70" i="5"/>
  <c r="F67" i="5"/>
  <c r="F65" i="5"/>
  <c r="F63" i="5"/>
  <c r="F62" i="5"/>
  <c r="F60" i="5"/>
  <c r="F59" i="5"/>
  <c r="F57" i="5"/>
  <c r="F54" i="5"/>
  <c r="F55" i="5"/>
  <c r="F52" i="5"/>
  <c r="F51" i="5"/>
  <c r="F49" i="5"/>
  <c r="F48" i="5"/>
  <c r="F46" i="5"/>
  <c r="F45" i="5"/>
  <c r="F43" i="5"/>
  <c r="F42" i="5"/>
  <c r="F31" i="5"/>
  <c r="F28" i="5"/>
  <c r="F38" i="5"/>
  <c r="F35" i="5"/>
  <c r="F17" i="5"/>
  <c r="F14" i="5"/>
  <c r="F11" i="5"/>
  <c r="F9" i="5"/>
  <c r="G235" i="5" l="1"/>
  <c r="F163" i="5"/>
  <c r="F109" i="5"/>
  <c r="F108" i="5"/>
  <c r="F24" i="5"/>
  <c r="F21" i="5"/>
  <c r="G14" i="5"/>
  <c r="G189" i="5" l="1"/>
  <c r="G190" i="5"/>
  <c r="G188" i="5"/>
  <c r="G21" i="5"/>
  <c r="G9" i="5"/>
  <c r="D288" i="5"/>
  <c r="F288" i="5"/>
  <c r="E286" i="5"/>
  <c r="E288" i="5" s="1"/>
  <c r="D286" i="5"/>
  <c r="G284" i="5"/>
  <c r="G282" i="5"/>
  <c r="G280" i="5"/>
  <c r="G278" i="5"/>
  <c r="G275" i="5"/>
  <c r="G272" i="5"/>
  <c r="G269" i="5"/>
  <c r="G267" i="5"/>
  <c r="G264" i="5"/>
  <c r="D260" i="5"/>
  <c r="G256" i="5"/>
  <c r="G253" i="5"/>
  <c r="G250" i="5"/>
  <c r="G247" i="5"/>
  <c r="G244" i="5"/>
  <c r="G241" i="5"/>
  <c r="G238" i="5"/>
  <c r="G236" i="5"/>
  <c r="G234" i="5"/>
  <c r="G228" i="5"/>
  <c r="G226" i="5"/>
  <c r="G224" i="5"/>
  <c r="G222" i="5"/>
  <c r="G207" i="5"/>
  <c r="G204" i="5"/>
  <c r="G201" i="5"/>
  <c r="G198" i="5"/>
  <c r="G195" i="5"/>
  <c r="G192" i="5"/>
  <c r="G178" i="5"/>
  <c r="G175" i="5"/>
  <c r="G166" i="5"/>
  <c r="G165" i="5"/>
  <c r="G162" i="5"/>
  <c r="G159" i="5"/>
  <c r="G156" i="5"/>
  <c r="G149" i="5"/>
  <c r="G137" i="5"/>
  <c r="G134" i="5"/>
  <c r="G131" i="5"/>
  <c r="G128" i="5"/>
  <c r="G121" i="5"/>
  <c r="G111" i="5"/>
  <c r="G108" i="5"/>
  <c r="G105" i="5"/>
  <c r="G102" i="5"/>
  <c r="G99" i="5"/>
  <c r="G96" i="5"/>
  <c r="G93" i="5"/>
  <c r="G90" i="5"/>
  <c r="G72" i="5"/>
  <c r="G69" i="5"/>
  <c r="G67" i="5"/>
  <c r="G65" i="5"/>
  <c r="G62" i="5"/>
  <c r="G59" i="5"/>
  <c r="G57" i="5"/>
  <c r="G54" i="5"/>
  <c r="G51" i="5"/>
  <c r="G48" i="5"/>
  <c r="G45" i="5"/>
  <c r="G42" i="5"/>
  <c r="G83" i="5" l="1"/>
  <c r="G142" i="5"/>
  <c r="G181" i="5"/>
  <c r="G168" i="5"/>
  <c r="G28" i="5"/>
  <c r="G76" i="5"/>
  <c r="R27" i="4"/>
  <c r="Q27" i="4"/>
  <c r="R26" i="4"/>
  <c r="R25" i="4"/>
  <c r="R24" i="4"/>
  <c r="R23" i="4"/>
  <c r="R22" i="4"/>
  <c r="R21" i="4"/>
  <c r="R15" i="4"/>
  <c r="Q15" i="4"/>
  <c r="R14" i="4"/>
  <c r="R13" i="4"/>
  <c r="R12" i="4"/>
  <c r="R11" i="4"/>
  <c r="R10" i="4"/>
  <c r="R9" i="4"/>
  <c r="H26" i="4"/>
  <c r="H25" i="4"/>
  <c r="H24" i="4"/>
  <c r="H23" i="4"/>
  <c r="H22" i="4"/>
  <c r="H21" i="4"/>
  <c r="H14" i="4"/>
  <c r="H13" i="4"/>
  <c r="H12" i="4"/>
  <c r="H11" i="4"/>
  <c r="H10" i="4"/>
  <c r="H9" i="4"/>
  <c r="H27" i="4"/>
  <c r="H15" i="4"/>
  <c r="G27" i="4"/>
  <c r="AC27" i="4"/>
  <c r="AC15" i="4"/>
  <c r="G15" i="4"/>
  <c r="AD26" i="4"/>
  <c r="AB26" i="4"/>
  <c r="AD25" i="4"/>
  <c r="AD24" i="4"/>
  <c r="AD23" i="4"/>
  <c r="AD22" i="4"/>
  <c r="AD21" i="4"/>
  <c r="AB21" i="4"/>
  <c r="AD14" i="4"/>
  <c r="AD13" i="4"/>
  <c r="AD12" i="4"/>
  <c r="AD11" i="4"/>
  <c r="AD10" i="4"/>
  <c r="AD9" i="4"/>
  <c r="AB14" i="4"/>
  <c r="AB13" i="4"/>
  <c r="AB12" i="4"/>
  <c r="AB11" i="4"/>
  <c r="AB10" i="4"/>
  <c r="AB9" i="4"/>
  <c r="G35" i="5" l="1"/>
  <c r="S23" i="3"/>
  <c r="G23" i="3"/>
  <c r="S22" i="3"/>
  <c r="G22" i="3"/>
  <c r="S21" i="3"/>
  <c r="G21" i="3"/>
  <c r="S20" i="3"/>
  <c r="G20" i="3"/>
  <c r="S19" i="3"/>
  <c r="G19" i="3"/>
  <c r="S18" i="3"/>
  <c r="G18" i="3"/>
  <c r="S11" i="3"/>
  <c r="G11" i="3"/>
  <c r="S10" i="3"/>
  <c r="G10" i="3"/>
  <c r="S9" i="3"/>
  <c r="G9" i="3"/>
  <c r="S8" i="3"/>
  <c r="G8" i="3"/>
  <c r="S7" i="3"/>
  <c r="G7" i="3"/>
  <c r="S6" i="3"/>
  <c r="G6" i="3"/>
  <c r="S45" i="2"/>
  <c r="S44" i="2"/>
  <c r="S43" i="2"/>
  <c r="S42" i="2"/>
  <c r="S41" i="2"/>
  <c r="S40" i="2"/>
  <c r="S33" i="2"/>
  <c r="S32" i="2"/>
  <c r="S31" i="2"/>
  <c r="S30" i="2"/>
  <c r="S29" i="2"/>
  <c r="S28" i="2"/>
  <c r="G45" i="2"/>
  <c r="G44" i="2"/>
  <c r="G43" i="2"/>
  <c r="G42" i="2"/>
  <c r="G41" i="2"/>
  <c r="G40" i="2"/>
  <c r="G33" i="2"/>
  <c r="G32" i="2"/>
  <c r="G31" i="2"/>
  <c r="G30" i="2"/>
  <c r="G29" i="2"/>
  <c r="G28" i="2"/>
  <c r="S21" i="2"/>
  <c r="T21" i="2" s="1"/>
  <c r="S20" i="2"/>
  <c r="U20" i="2" s="1"/>
  <c r="S19" i="2"/>
  <c r="T19" i="2" s="1"/>
  <c r="S18" i="2"/>
  <c r="S17" i="2"/>
  <c r="T17" i="2" s="1"/>
  <c r="S16" i="2"/>
  <c r="U16" i="2" s="1"/>
  <c r="S10" i="2"/>
  <c r="T10" i="2" s="1"/>
  <c r="S9" i="2"/>
  <c r="S8" i="2"/>
  <c r="S7" i="2"/>
  <c r="U10" i="2" s="1"/>
  <c r="S6" i="2"/>
  <c r="T6" i="2" s="1"/>
  <c r="S5" i="2"/>
  <c r="U21" i="2"/>
  <c r="U8" i="2"/>
  <c r="I16" i="2"/>
  <c r="G21" i="2"/>
  <c r="H21" i="2" s="1"/>
  <c r="G20" i="2"/>
  <c r="G19" i="2"/>
  <c r="H19" i="2" s="1"/>
  <c r="G18" i="2"/>
  <c r="G17" i="2"/>
  <c r="H17" i="2" s="1"/>
  <c r="G16" i="2"/>
  <c r="H16" i="2" s="1"/>
  <c r="G10" i="2"/>
  <c r="G9" i="2"/>
  <c r="I9" i="2" s="1"/>
  <c r="G8" i="2"/>
  <c r="H8" i="2" s="1"/>
  <c r="G7" i="2"/>
  <c r="G6" i="2"/>
  <c r="G5" i="2"/>
  <c r="I7" i="2"/>
  <c r="I8" i="2" l="1"/>
  <c r="I5" i="2"/>
  <c r="H6" i="2"/>
  <c r="I6" i="2"/>
  <c r="U5" i="2"/>
  <c r="U6" i="2"/>
  <c r="U9" i="2"/>
  <c r="I17" i="2"/>
  <c r="T8" i="2"/>
  <c r="I10" i="2"/>
  <c r="T9" i="2"/>
  <c r="T16" i="2"/>
  <c r="U17" i="2"/>
  <c r="U7" i="2"/>
  <c r="U19" i="2"/>
  <c r="T7" i="2"/>
  <c r="T20" i="2"/>
  <c r="T5" i="2"/>
  <c r="U18" i="2"/>
  <c r="T18" i="2"/>
  <c r="H9" i="2"/>
  <c r="I21" i="2"/>
  <c r="I19" i="2"/>
  <c r="H20" i="2"/>
  <c r="I20" i="2"/>
  <c r="H18" i="2"/>
  <c r="I18" i="2"/>
  <c r="H5" i="2"/>
  <c r="H10" i="2"/>
  <c r="H7" i="2"/>
  <c r="E21" i="1"/>
  <c r="K21" i="1"/>
  <c r="M21" i="1"/>
  <c r="O21" i="1"/>
  <c r="H9" i="1"/>
  <c r="G18" i="1"/>
  <c r="D19" i="1"/>
  <c r="F19" i="1" s="1"/>
  <c r="G19" i="1" s="1"/>
  <c r="D20" i="1"/>
  <c r="F20" i="1" s="1"/>
  <c r="G20" i="1" s="1"/>
  <c r="D18" i="1"/>
  <c r="F18" i="1" s="1"/>
  <c r="D17" i="1"/>
  <c r="F17" i="1" s="1"/>
  <c r="G17" i="1" s="1"/>
  <c r="D14" i="1"/>
  <c r="H14" i="1" s="1"/>
  <c r="D15" i="1"/>
  <c r="F15" i="1" s="1"/>
  <c r="G15" i="1" s="1"/>
  <c r="D16" i="1"/>
  <c r="H16" i="1" s="1"/>
  <c r="D13" i="1"/>
  <c r="F13" i="1" s="1"/>
  <c r="G13" i="1" s="1"/>
  <c r="D5" i="1"/>
  <c r="F5" i="1" s="1"/>
  <c r="G5" i="1" s="1"/>
  <c r="D11" i="1"/>
  <c r="D9" i="1"/>
  <c r="F9" i="1" s="1"/>
  <c r="G9" i="1" s="1"/>
  <c r="D10" i="1"/>
  <c r="F10" i="1" s="1"/>
  <c r="G10" i="1" s="1"/>
  <c r="D8" i="1"/>
  <c r="F8" i="1" s="1"/>
  <c r="G8" i="1" s="1"/>
  <c r="D7" i="1"/>
  <c r="F7" i="1" s="1"/>
  <c r="G7" i="1" s="1"/>
  <c r="H5" i="1" l="1"/>
  <c r="D21" i="1"/>
  <c r="F14" i="1"/>
  <c r="G14" i="1" s="1"/>
  <c r="H19" i="1"/>
  <c r="H15" i="1"/>
  <c r="H13" i="1"/>
  <c r="H20" i="1"/>
  <c r="H10" i="1"/>
  <c r="H18" i="1"/>
  <c r="H8" i="1"/>
  <c r="H17" i="1"/>
  <c r="H7" i="1"/>
  <c r="F16" i="1"/>
  <c r="G16" i="1" s="1"/>
  <c r="H21" i="1" l="1"/>
</calcChain>
</file>

<file path=xl/sharedStrings.xml><?xml version="1.0" encoding="utf-8"?>
<sst xmlns="http://schemas.openxmlformats.org/spreadsheetml/2006/main" count="1064" uniqueCount="313">
  <si>
    <t>№ п/п</t>
  </si>
  <si>
    <t>Наименование ПС</t>
  </si>
  <si>
    <t>Наименование ВЛ, питающая ПС</t>
  </si>
  <si>
    <t>Марка и сечение ВЛ</t>
  </si>
  <si>
    <t>Тип тр-ра</t>
  </si>
  <si>
    <t>запас мощности (%)</t>
  </si>
  <si>
    <t>Р (МВт)</t>
  </si>
  <si>
    <t>запас мощности (МВт)</t>
  </si>
  <si>
    <t>ПС Баутино</t>
  </si>
  <si>
    <t>Л-Ш-1,2-110</t>
  </si>
  <si>
    <t>ТДН-16 МВА</t>
  </si>
  <si>
    <t>ПС Дунга</t>
  </si>
  <si>
    <t>ТДТН-16 МВА</t>
  </si>
  <si>
    <t>ПС Умирзак</t>
  </si>
  <si>
    <t>Л-Н-2,3-110</t>
  </si>
  <si>
    <t>АС-95</t>
  </si>
  <si>
    <t>ТРДН-25 МВА</t>
  </si>
  <si>
    <t>ПС База отдыха</t>
  </si>
  <si>
    <t>Л-Н-1,2-110</t>
  </si>
  <si>
    <t>ПС Курык</t>
  </si>
  <si>
    <t>АС-95 (отп. к ПС Курык АС-150)</t>
  </si>
  <si>
    <t>ТРДТН-40 МВА</t>
  </si>
  <si>
    <t>ПС Н-2</t>
  </si>
  <si>
    <t>ТДТН-10 МВА</t>
  </si>
  <si>
    <t>ПС Бейнеу</t>
  </si>
  <si>
    <t>АС-120</t>
  </si>
  <si>
    <t>ТДТН-25 МВА</t>
  </si>
  <si>
    <t>ПС Сай-Утес</t>
  </si>
  <si>
    <t>ТДН-10 МВА</t>
  </si>
  <si>
    <t>Л-Бейнеу-1,2-110          (Л-159,160-110)</t>
  </si>
  <si>
    <t xml:space="preserve">Загрузка (%) </t>
  </si>
  <si>
    <t>Загрузка (МВт)</t>
  </si>
  <si>
    <t>ПС Фетисово</t>
  </si>
  <si>
    <t>Л-Фетисово-2-110</t>
  </si>
  <si>
    <t>ТМ-6,3 МВА</t>
  </si>
  <si>
    <t>ПС Таучик</t>
  </si>
  <si>
    <t>АСК-120</t>
  </si>
  <si>
    <t>ТДНС-10 МВА</t>
  </si>
  <si>
    <t>ПС ПТБ</t>
  </si>
  <si>
    <t>Л-М-1,2</t>
  </si>
  <si>
    <t xml:space="preserve">АС-120 </t>
  </si>
  <si>
    <t>АС-150                    (АС-120)</t>
  </si>
  <si>
    <t>ПС Промзона</t>
  </si>
  <si>
    <t>Л-Промзона-1,2-110</t>
  </si>
  <si>
    <t>ПС Акжигит</t>
  </si>
  <si>
    <t>Л-Акжигит-1,2-35</t>
  </si>
  <si>
    <t>Л-Дунга-Таучик-35,            Л-Куйбышево-Таучик-35</t>
  </si>
  <si>
    <t>АСК-95</t>
  </si>
  <si>
    <t>ТМН-6,3 МВА</t>
  </si>
  <si>
    <t>ПС Тущекудук</t>
  </si>
  <si>
    <t>Л-Тущекудук-35</t>
  </si>
  <si>
    <t>АС-70 (отп.к ПС Тущекудук АС-50)</t>
  </si>
  <si>
    <t>ТМ-4 МВА</t>
  </si>
  <si>
    <t>ПС Кызан</t>
  </si>
  <si>
    <t>Л-Кызан-35</t>
  </si>
  <si>
    <t>АС-70</t>
  </si>
  <si>
    <t>ТМ-2,5 МВА</t>
  </si>
  <si>
    <t>ПС Кызыл-Туран</t>
  </si>
  <si>
    <t>Л-Кызыл-Туран-35</t>
  </si>
  <si>
    <t>Пропускная способность линии (МВт)</t>
  </si>
  <si>
    <t>Л-Сай-Утес-1,2-110             (Л-Бейнеу-1,2-110)</t>
  </si>
  <si>
    <t>66,32                      51,11</t>
  </si>
  <si>
    <t>Загрузка линии (МВт)</t>
  </si>
  <si>
    <t xml:space="preserve">13                 (27) </t>
  </si>
  <si>
    <t xml:space="preserve">27                 (13) </t>
  </si>
  <si>
    <t>25,4       (52,8)</t>
  </si>
  <si>
    <t>40,7         (25,4)</t>
  </si>
  <si>
    <t>74,6       (47,2)</t>
  </si>
  <si>
    <t>59,3         (74,6)</t>
  </si>
  <si>
    <t>38,11       (24,11)</t>
  </si>
  <si>
    <t>39,32         (38,11)</t>
  </si>
  <si>
    <t>Итого</t>
  </si>
  <si>
    <t>Запас мощности по фактическим данным</t>
  </si>
  <si>
    <t>3.</t>
  </si>
  <si>
    <t>ВПАДИНА</t>
  </si>
  <si>
    <t xml:space="preserve">Т-1    </t>
  </si>
  <si>
    <t>ТДТН-25000/110</t>
  </si>
  <si>
    <t xml:space="preserve">   110 kV  </t>
  </si>
  <si>
    <t xml:space="preserve">  </t>
  </si>
  <si>
    <t xml:space="preserve">    35 kV  </t>
  </si>
  <si>
    <t xml:space="preserve">     6 kV  </t>
  </si>
  <si>
    <t xml:space="preserve">Т-2    </t>
  </si>
  <si>
    <t>По итогам режимного дня 19.06.2024г</t>
  </si>
  <si>
    <t>На сегодня (по факту) 29 октября 2024 г</t>
  </si>
  <si>
    <t>При переходе 2 МВт=12А на ПС Впадину</t>
  </si>
  <si>
    <t xml:space="preserve">                                               На сегодня (по факту) 29 октября 2024 г</t>
  </si>
  <si>
    <t>20 МВт</t>
  </si>
  <si>
    <t>МВт</t>
  </si>
  <si>
    <t>Номинал</t>
  </si>
  <si>
    <t>Суммарный Р</t>
  </si>
  <si>
    <t>20МВт</t>
  </si>
  <si>
    <t>I, А</t>
  </si>
  <si>
    <t>P,МВт</t>
  </si>
  <si>
    <t>I, A</t>
  </si>
  <si>
    <t>P, МВт</t>
  </si>
  <si>
    <t>Примечание: Суммарный Т-1+Т-2 составляет 30,5 МВт, Т-2 больше загружено чем Т-1</t>
  </si>
  <si>
    <t xml:space="preserve">           На сегодня (по факту) 29 октября 2024 г</t>
  </si>
  <si>
    <t xml:space="preserve">         Примечание: Суммарный Т-1+Т-2 составляет 30,5 МВт, Т-2 больше загружено чем Т-1</t>
  </si>
  <si>
    <t>По итогам режимного дня 20.12.2023г</t>
  </si>
  <si>
    <t>U ном, кВ</t>
  </si>
  <si>
    <t>P ном, кВт</t>
  </si>
  <si>
    <t>Тип обородувания</t>
  </si>
  <si>
    <t>Р, МВт</t>
  </si>
  <si>
    <t>%</t>
  </si>
  <si>
    <t>Pном,кВт</t>
  </si>
  <si>
    <t>Суммарный Р(110)</t>
  </si>
  <si>
    <t>Р ном, МВт</t>
  </si>
  <si>
    <t>По показаниям счетчиков АСКУЭ</t>
  </si>
  <si>
    <t xml:space="preserve">      </t>
  </si>
  <si>
    <t xml:space="preserve">                            </t>
  </si>
  <si>
    <t xml:space="preserve">                        </t>
  </si>
  <si>
    <t xml:space="preserve">                                    </t>
  </si>
  <si>
    <t xml:space="preserve">            </t>
  </si>
  <si>
    <t xml:space="preserve">                                        </t>
  </si>
  <si>
    <t>N</t>
  </si>
  <si>
    <t>ҚС</t>
  </si>
  <si>
    <t>ТР-Р</t>
  </si>
  <si>
    <t xml:space="preserve">ТРАНСФОРМАТОР </t>
  </si>
  <si>
    <t>Kз (%)</t>
  </si>
  <si>
    <t>АТАУЫ</t>
  </si>
  <si>
    <t>ТИПІ</t>
  </si>
  <si>
    <t>суммар.</t>
  </si>
  <si>
    <t xml:space="preserve"> </t>
  </si>
  <si>
    <t>1.</t>
  </si>
  <si>
    <t>ӨЗЕН</t>
  </si>
  <si>
    <t xml:space="preserve">АТ-1    </t>
  </si>
  <si>
    <t>АТДЦТН-250000/220</t>
  </si>
  <si>
    <t xml:space="preserve">АТ-2    </t>
  </si>
  <si>
    <t>2.</t>
  </si>
  <si>
    <t>ПЛАТО</t>
  </si>
  <si>
    <t xml:space="preserve">T-1    </t>
  </si>
  <si>
    <t>ТДТН-40000/110</t>
  </si>
  <si>
    <t>4.</t>
  </si>
  <si>
    <t>ПРОМЗОНА</t>
  </si>
  <si>
    <t>ТРДН-25000/110</t>
  </si>
  <si>
    <t xml:space="preserve">1 c  </t>
  </si>
  <si>
    <t xml:space="preserve">2 c  </t>
  </si>
  <si>
    <t xml:space="preserve">3 c  </t>
  </si>
  <si>
    <t xml:space="preserve">4 c  </t>
  </si>
  <si>
    <t>5.</t>
  </si>
  <si>
    <t>ГОРОДСКАЯ</t>
  </si>
  <si>
    <t>6.</t>
  </si>
  <si>
    <t>КС-ӨЗЕН</t>
  </si>
  <si>
    <t>ТДН-16000/110</t>
  </si>
  <si>
    <t>7.</t>
  </si>
  <si>
    <t>ТЕРМАЛЬНАЯ</t>
  </si>
  <si>
    <t>ТДН-10000/110</t>
  </si>
  <si>
    <t>8.</t>
  </si>
  <si>
    <t>3 А</t>
  </si>
  <si>
    <t>9.</t>
  </si>
  <si>
    <t>ҚАРАМАНДЫБАС</t>
  </si>
  <si>
    <t>10.</t>
  </si>
  <si>
    <t>ТЕҢГЕ</t>
  </si>
  <si>
    <t>ТМН-6300/110</t>
  </si>
  <si>
    <t>11.</t>
  </si>
  <si>
    <t>ФЕТИСОВО</t>
  </si>
  <si>
    <t>12.</t>
  </si>
  <si>
    <t>ГЛИНЗАВОД</t>
  </si>
  <si>
    <t>ТДНС-16000/35</t>
  </si>
  <si>
    <t>13.</t>
  </si>
  <si>
    <t>ВОСТОЧНАЯ</t>
  </si>
  <si>
    <t>14.</t>
  </si>
  <si>
    <t>ТҮЙЕСУ</t>
  </si>
  <si>
    <t>ТМН-3200/35</t>
  </si>
  <si>
    <t>15.</t>
  </si>
  <si>
    <t>САУЫСҚАН</t>
  </si>
  <si>
    <t>ТМ-1000/35</t>
  </si>
  <si>
    <t>16.</t>
  </si>
  <si>
    <t>АҚҚҰДЫҚ</t>
  </si>
  <si>
    <t>17.</t>
  </si>
  <si>
    <t>БЕКЕТ АТА</t>
  </si>
  <si>
    <t>18.</t>
  </si>
  <si>
    <t>ЖЕТІБАЙ</t>
  </si>
  <si>
    <t>19.</t>
  </si>
  <si>
    <t>ВОСТОЧ.ЖЕТЫБАЙ</t>
  </si>
  <si>
    <t xml:space="preserve">    Т-1    </t>
  </si>
  <si>
    <t>ТДТН-16000/110</t>
  </si>
  <si>
    <t>20.</t>
  </si>
  <si>
    <t>БКНС-2</t>
  </si>
  <si>
    <t>ТДН-10000/35</t>
  </si>
  <si>
    <t>21.</t>
  </si>
  <si>
    <t>БКНС-3</t>
  </si>
  <si>
    <t>22.</t>
  </si>
  <si>
    <t>БКНС-4</t>
  </si>
  <si>
    <t>ТМ-6300/35</t>
  </si>
  <si>
    <t>23.</t>
  </si>
  <si>
    <t>БКНС-5</t>
  </si>
  <si>
    <t>ТМ-6300/36</t>
  </si>
  <si>
    <t>24.</t>
  </si>
  <si>
    <t>ТАСБОЛАТ</t>
  </si>
  <si>
    <t>ТM-6300/35</t>
  </si>
  <si>
    <t>25.</t>
  </si>
  <si>
    <t>КАРЬЕРНАЯ</t>
  </si>
  <si>
    <t>ТМН-4000/35</t>
  </si>
  <si>
    <t>26.</t>
  </si>
  <si>
    <t>АСАР</t>
  </si>
  <si>
    <t>ТON-4000/35</t>
  </si>
  <si>
    <t>27.</t>
  </si>
  <si>
    <t>ҚҰРЫҚ</t>
  </si>
  <si>
    <t>ТРДТН-40000/110</t>
  </si>
  <si>
    <t>28.</t>
  </si>
  <si>
    <t>БЕЙНЕУ</t>
  </si>
  <si>
    <t>29.</t>
  </si>
  <si>
    <t>САЙ-ӨТЕС</t>
  </si>
  <si>
    <t>30.</t>
  </si>
  <si>
    <t>АҚЖІГІТ</t>
  </si>
  <si>
    <t>ТМН-6300/35</t>
  </si>
  <si>
    <t>31.</t>
  </si>
  <si>
    <t>ОПОРHАЯ</t>
  </si>
  <si>
    <t>32.</t>
  </si>
  <si>
    <t>ТОН-4000/35</t>
  </si>
  <si>
    <t>ТОН-4000/36</t>
  </si>
  <si>
    <t>33.</t>
  </si>
  <si>
    <t>ӨМІРЗАҚ</t>
  </si>
  <si>
    <t>34.</t>
  </si>
  <si>
    <t>ДУНГА</t>
  </si>
  <si>
    <t>35.</t>
  </si>
  <si>
    <t>АҚШҰҚЫР</t>
  </si>
  <si>
    <t>36.</t>
  </si>
  <si>
    <t>ПТБ</t>
  </si>
  <si>
    <t>37.</t>
  </si>
  <si>
    <t>ТАУШЫҚ</t>
  </si>
  <si>
    <t>TДНС-10000/35</t>
  </si>
  <si>
    <t>38.</t>
  </si>
  <si>
    <t>ФОРТ-ШЕВЧЕНКО</t>
  </si>
  <si>
    <t>ТДТН-10000/110</t>
  </si>
  <si>
    <t>39.</t>
  </si>
  <si>
    <t>БАУТИНО</t>
  </si>
  <si>
    <t>ТДH-16000/110</t>
  </si>
  <si>
    <t>40.</t>
  </si>
  <si>
    <t>ПТФ</t>
  </si>
  <si>
    <t>ТМ-4000/35</t>
  </si>
  <si>
    <t>41.</t>
  </si>
  <si>
    <t>ТҮПҚАРАҒАН</t>
  </si>
  <si>
    <t>ТМH-2500/110</t>
  </si>
  <si>
    <t>42.</t>
  </si>
  <si>
    <t>1Г</t>
  </si>
  <si>
    <t>ТДH-25000/110</t>
  </si>
  <si>
    <t>1с</t>
  </si>
  <si>
    <t>2с</t>
  </si>
  <si>
    <t>Т-2</t>
  </si>
  <si>
    <t>3с</t>
  </si>
  <si>
    <t>4с</t>
  </si>
  <si>
    <t>43.</t>
  </si>
  <si>
    <t>2Г</t>
  </si>
  <si>
    <t>ТРДH-25000/110</t>
  </si>
  <si>
    <t xml:space="preserve">Т-3    </t>
  </si>
  <si>
    <t>44.</t>
  </si>
  <si>
    <t>3Г</t>
  </si>
  <si>
    <t>45.</t>
  </si>
  <si>
    <t>ПРИБРЕЖНАЯ</t>
  </si>
  <si>
    <t>ТРДН-25000/111</t>
  </si>
  <si>
    <t>46.</t>
  </si>
  <si>
    <t>Н-2</t>
  </si>
  <si>
    <t>47.</t>
  </si>
  <si>
    <t>РМЗ</t>
  </si>
  <si>
    <t>ТДH-15000/110</t>
  </si>
  <si>
    <t>48.</t>
  </si>
  <si>
    <t>49.</t>
  </si>
  <si>
    <t>ҚҰЙЫЛЫС</t>
  </si>
  <si>
    <t>50.</t>
  </si>
  <si>
    <t>БАЗА-ОТДЫХА</t>
  </si>
  <si>
    <t>Т-1</t>
  </si>
  <si>
    <t>51.</t>
  </si>
  <si>
    <t>ЮЖНАЯ</t>
  </si>
  <si>
    <t>52.</t>
  </si>
  <si>
    <t>АЭРОПОРТ</t>
  </si>
  <si>
    <t>53.</t>
  </si>
  <si>
    <t>54.</t>
  </si>
  <si>
    <t>ҚАРАЖАНБАС</t>
  </si>
  <si>
    <t>АТДЦТН-125000/220</t>
  </si>
  <si>
    <t xml:space="preserve">АТ-3    </t>
  </si>
  <si>
    <t>DOTAR-150000/220</t>
  </si>
  <si>
    <t>DOTR-25000/110</t>
  </si>
  <si>
    <t>55.</t>
  </si>
  <si>
    <t>СЕВЕРНАЯ</t>
  </si>
  <si>
    <t>56.</t>
  </si>
  <si>
    <t>ҚАРАЖАНБАС-2</t>
  </si>
  <si>
    <t>57.</t>
  </si>
  <si>
    <t>ҚАЛАМКАС-2</t>
  </si>
  <si>
    <t>58.</t>
  </si>
  <si>
    <t>ҚАЛАМКАС</t>
  </si>
  <si>
    <t>59.</t>
  </si>
  <si>
    <t>ПТВ</t>
  </si>
  <si>
    <t>60.</t>
  </si>
  <si>
    <t>ПРОМБАЗА</t>
  </si>
  <si>
    <t>61.</t>
  </si>
  <si>
    <t>ШЕТПЕ</t>
  </si>
  <si>
    <t>ТДНС-10000/35</t>
  </si>
  <si>
    <t>62.</t>
  </si>
  <si>
    <t>ТИГЕН</t>
  </si>
  <si>
    <t>ТМ-1600/35</t>
  </si>
  <si>
    <t>63.</t>
  </si>
  <si>
    <t>КУЙБЫШЕВО</t>
  </si>
  <si>
    <t>64.</t>
  </si>
  <si>
    <t>ЖАРМЫШ</t>
  </si>
  <si>
    <t>ТМ-2500/35</t>
  </si>
  <si>
    <t>65.</t>
  </si>
  <si>
    <t>ҰШТАҒАН</t>
  </si>
  <si>
    <t>66.</t>
  </si>
  <si>
    <t>ТҰЩЫҚҰДЫҚ</t>
  </si>
  <si>
    <t>67.</t>
  </si>
  <si>
    <t>ҚЫЗАН</t>
  </si>
  <si>
    <t>68.</t>
  </si>
  <si>
    <t>ҚЫЗЫЛ-ТҰРАН</t>
  </si>
  <si>
    <t>69.</t>
  </si>
  <si>
    <t>ШАЙЫP</t>
  </si>
  <si>
    <t>P ном, МВт</t>
  </si>
  <si>
    <t>По счетчикам АСКУЭ</t>
  </si>
  <si>
    <t xml:space="preserve"> Т-2</t>
  </si>
  <si>
    <t xml:space="preserve">Р фак  </t>
  </si>
  <si>
    <t>4Г</t>
  </si>
  <si>
    <t>ТРДH-40000/110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</si>
</sst>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  <charset val="204"/>
    </font>
    <font>
      <b/>
      <sz val="12"/>
      <color indexed="9"/>
      <name val="Times New Roman"/>
      <family val="1"/>
    </font>
    <font>
      <sz val="10"/>
      <name val="Arial Cyr"/>
      <charset val="204"/>
    </font>
    <font>
      <b/>
      <sz val="12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2" borderId="4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9" fontId="7" fillId="3" borderId="5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9" fontId="7" fillId="2" borderId="5" xfId="0" applyNumberFormat="1" applyFont="1" applyFill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9" fontId="7" fillId="3" borderId="0" xfId="0" applyNumberFormat="1" applyFont="1" applyFill="1" applyAlignment="1">
      <alignment horizontal="center"/>
    </xf>
    <xf numFmtId="9" fontId="7" fillId="2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9" fontId="7" fillId="3" borderId="6" xfId="0" applyNumberFormat="1" applyFont="1" applyFill="1" applyBorder="1" applyAlignment="1">
      <alignment horizontal="center"/>
    </xf>
    <xf numFmtId="9" fontId="7" fillId="2" borderId="6" xfId="0" applyNumberFormat="1" applyFont="1" applyFill="1" applyBorder="1" applyAlignment="1">
      <alignment horizontal="center"/>
    </xf>
    <xf numFmtId="9" fontId="7" fillId="0" borderId="6" xfId="0" applyNumberFormat="1" applyFont="1" applyBorder="1" applyAlignment="1">
      <alignment horizontal="center"/>
    </xf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1" xfId="0" applyFont="1" applyFill="1" applyBorder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7" fillId="2" borderId="1" xfId="0" applyFont="1" applyFill="1" applyBorder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9" fontId="8" fillId="0" borderId="1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9" fontId="17" fillId="3" borderId="0" xfId="0" applyNumberFormat="1" applyFont="1" applyFill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8" fillId="0" borderId="1" xfId="0" applyFont="1" applyBorder="1"/>
    <xf numFmtId="0" fontId="19" fillId="0" borderId="1" xfId="0" applyFont="1" applyBorder="1" applyAlignment="1">
      <alignment horizontal="center" vertical="center"/>
    </xf>
    <xf numFmtId="0" fontId="20" fillId="2" borderId="1" xfId="0" applyFont="1" applyFill="1" applyBorder="1"/>
    <xf numFmtId="0" fontId="20" fillId="0" borderId="1" xfId="0" applyFont="1" applyBorder="1" applyAlignment="1">
      <alignment horizontal="center"/>
    </xf>
    <xf numFmtId="1" fontId="20" fillId="2" borderId="1" xfId="0" applyNumberFormat="1" applyFont="1" applyFill="1" applyBorder="1" applyAlignment="1">
      <alignment horizontal="center"/>
    </xf>
    <xf numFmtId="9" fontId="19" fillId="0" borderId="1" xfId="0" applyNumberFormat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7" fillId="0" borderId="1" xfId="0" applyFont="1" applyBorder="1" applyAlignment="1">
      <alignment vertical="center"/>
    </xf>
    <xf numFmtId="0" fontId="21" fillId="0" borderId="1" xfId="0" applyFont="1" applyBorder="1"/>
    <xf numFmtId="0" fontId="22" fillId="0" borderId="1" xfId="0" applyFont="1" applyBorder="1" applyAlignment="1">
      <alignment vertical="center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3" fillId="2" borderId="1" xfId="0" applyFont="1" applyFill="1" applyBorder="1"/>
    <xf numFmtId="0" fontId="22" fillId="0" borderId="1" xfId="0" applyFont="1" applyBorder="1"/>
    <xf numFmtId="165" fontId="17" fillId="2" borderId="1" xfId="0" applyNumberFormat="1" applyFont="1" applyFill="1" applyBorder="1" applyAlignment="1">
      <alignment horizontal="center"/>
    </xf>
    <xf numFmtId="9" fontId="17" fillId="3" borderId="1" xfId="0" applyNumberFormat="1" applyFont="1" applyFill="1" applyBorder="1" applyAlignment="1">
      <alignment horizontal="center"/>
    </xf>
    <xf numFmtId="0" fontId="16" fillId="0" borderId="3" xfId="0" applyFont="1" applyBorder="1"/>
    <xf numFmtId="0" fontId="8" fillId="0" borderId="6" xfId="0" applyFont="1" applyBorder="1" applyAlignment="1">
      <alignment vertical="center"/>
    </xf>
    <xf numFmtId="0" fontId="8" fillId="0" borderId="9" xfId="0" applyFont="1" applyBorder="1"/>
    <xf numFmtId="0" fontId="8" fillId="0" borderId="8" xfId="0" applyFont="1" applyBorder="1"/>
    <xf numFmtId="0" fontId="8" fillId="0" borderId="3" xfId="0" applyFont="1" applyBorder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6" fillId="0" borderId="6" xfId="0" applyFont="1" applyBorder="1"/>
    <xf numFmtId="0" fontId="16" fillId="0" borderId="8" xfId="0" applyFont="1" applyBorder="1"/>
    <xf numFmtId="9" fontId="0" fillId="0" borderId="0" xfId="0" applyNumberFormat="1"/>
    <xf numFmtId="0" fontId="7" fillId="0" borderId="10" xfId="0" applyFont="1" applyBorder="1"/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9" fontId="7" fillId="0" borderId="0" xfId="0" applyNumberFormat="1" applyFont="1"/>
    <xf numFmtId="0" fontId="7" fillId="2" borderId="10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0" borderId="17" xfId="0" applyFont="1" applyBorder="1"/>
    <xf numFmtId="0" fontId="7" fillId="0" borderId="2" xfId="0" applyFont="1" applyBorder="1"/>
    <xf numFmtId="0" fontId="7" fillId="2" borderId="13" xfId="0" applyFont="1" applyFill="1" applyBorder="1"/>
    <xf numFmtId="0" fontId="7" fillId="0" borderId="14" xfId="0" applyFont="1" applyBorder="1" applyAlignment="1">
      <alignment horizontal="center"/>
    </xf>
    <xf numFmtId="0" fontId="26" fillId="0" borderId="0" xfId="0" applyFont="1"/>
    <xf numFmtId="0" fontId="7" fillId="2" borderId="17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9" xfId="0" applyFont="1" applyFill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1" xfId="0" applyFont="1" applyFill="1" applyBorder="1"/>
    <xf numFmtId="0" fontId="7" fillId="2" borderId="11" xfId="0" applyFont="1" applyFill="1" applyBorder="1" applyAlignment="1">
      <alignment horizontal="center"/>
    </xf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7" fillId="0" borderId="21" xfId="0" applyFont="1" applyBorder="1"/>
    <xf numFmtId="0" fontId="7" fillId="0" borderId="8" xfId="0" applyFont="1" applyBorder="1"/>
    <xf numFmtId="0" fontId="7" fillId="0" borderId="3" xfId="0" applyFont="1" applyBorder="1"/>
    <xf numFmtId="0" fontId="7" fillId="2" borderId="22" xfId="0" applyFont="1" applyFill="1" applyBorder="1"/>
    <xf numFmtId="0" fontId="28" fillId="0" borderId="0" xfId="0" applyFont="1"/>
    <xf numFmtId="0" fontId="7" fillId="2" borderId="0" xfId="0" applyFont="1" applyFill="1" applyAlignment="1">
      <alignment horizontal="center"/>
    </xf>
    <xf numFmtId="0" fontId="28" fillId="2" borderId="0" xfId="0" applyFont="1" applyFill="1"/>
    <xf numFmtId="9" fontId="7" fillId="0" borderId="23" xfId="0" applyNumberFormat="1" applyFont="1" applyBorder="1"/>
    <xf numFmtId="9" fontId="7" fillId="0" borderId="24" xfId="0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9" fontId="7" fillId="0" borderId="6" xfId="0" applyNumberFormat="1" applyFont="1" applyBorder="1" applyAlignment="1">
      <alignment horizontal="center" vertical="center"/>
    </xf>
    <xf numFmtId="0" fontId="25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9" fontId="7" fillId="0" borderId="5" xfId="0" applyNumberFormat="1" applyFont="1" applyBorder="1" applyAlignment="1">
      <alignment horizontal="center" vertical="center"/>
    </xf>
    <xf numFmtId="9" fontId="7" fillId="2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9" fontId="7" fillId="2" borderId="18" xfId="0" applyNumberFormat="1" applyFont="1" applyFill="1" applyBorder="1" applyAlignment="1">
      <alignment horizontal="center" vertical="center"/>
    </xf>
    <xf numFmtId="9" fontId="7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7" fillId="2" borderId="2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9" fontId="7" fillId="2" borderId="0" xfId="0" applyNumberFormat="1" applyFont="1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9" fontId="7" fillId="2" borderId="15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9" fontId="7" fillId="2" borderId="7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9" fontId="7" fillId="3" borderId="2" xfId="0" applyNumberFormat="1" applyFont="1" applyFill="1" applyBorder="1" applyAlignment="1">
      <alignment horizontal="center" vertical="center"/>
    </xf>
    <xf numFmtId="9" fontId="7" fillId="3" borderId="7" xfId="0" applyNumberFormat="1" applyFont="1" applyFill="1" applyBorder="1" applyAlignment="1">
      <alignment horizontal="center" vertical="center"/>
    </xf>
    <xf numFmtId="9" fontId="7" fillId="3" borderId="3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9" fontId="7" fillId="0" borderId="25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9" fontId="7" fillId="3" borderId="25" xfId="0" applyNumberFormat="1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9" fontId="7" fillId="2" borderId="25" xfId="0" applyNumberFormat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9" fontId="7" fillId="2" borderId="26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9" fontId="7" fillId="2" borderId="18" xfId="0" applyNumberFormat="1" applyFont="1" applyFill="1" applyBorder="1" applyAlignment="1">
      <alignment horizontal="center" vertical="center"/>
    </xf>
    <xf numFmtId="9" fontId="7" fillId="2" borderId="16" xfId="0" applyNumberFormat="1" applyFont="1" applyFill="1" applyBorder="1" applyAlignment="1">
      <alignment horizontal="center" vertical="center"/>
    </xf>
    <xf numFmtId="9" fontId="7" fillId="2" borderId="2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9" fontId="7" fillId="3" borderId="26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9" fontId="7" fillId="2" borderId="2" xfId="1" applyNumberFormat="1" applyFont="1" applyFill="1" applyBorder="1" applyAlignment="1">
      <alignment horizontal="center" vertical="center"/>
    </xf>
    <xf numFmtId="9" fontId="7" fillId="2" borderId="3" xfId="1" applyNumberFormat="1" applyFont="1" applyFill="1" applyBorder="1" applyAlignment="1">
      <alignment horizontal="center" vertical="center"/>
    </xf>
    <xf numFmtId="9" fontId="7" fillId="2" borderId="2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3" borderId="3" xfId="1" applyFont="1" applyFill="1" applyBorder="1"/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28" xfId="0" applyFont="1" applyFill="1" applyBorder="1"/>
    <xf numFmtId="0" fontId="7" fillId="3" borderId="29" xfId="0" applyFont="1" applyFill="1" applyBorder="1"/>
    <xf numFmtId="164" fontId="7" fillId="0" borderId="30" xfId="0" applyNumberFormat="1" applyFont="1" applyBorder="1" applyAlignment="1">
      <alignment horizontal="center" vertical="center"/>
    </xf>
    <xf numFmtId="0" fontId="0" fillId="0" borderId="7" xfId="0" applyBorder="1"/>
    <xf numFmtId="0" fontId="7" fillId="3" borderId="24" xfId="0" applyFont="1" applyFill="1" applyBorder="1"/>
    <xf numFmtId="0" fontId="7" fillId="3" borderId="6" xfId="0" applyFont="1" applyFill="1" applyBorder="1"/>
    <xf numFmtId="0" fontId="0" fillId="0" borderId="3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7</xdr:row>
      <xdr:rowOff>95250</xdr:rowOff>
    </xdr:from>
    <xdr:to>
      <xdr:col>4</xdr:col>
      <xdr:colOff>161925</xdr:colOff>
      <xdr:row>7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048000" y="1590675"/>
          <a:ext cx="246697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ӨЗЕН АЭЖ</a:t>
          </a:r>
        </a:p>
        <a:p>
          <a:pPr algn="l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</xdr:txBody>
    </xdr:sp>
    <xdr:clientData/>
  </xdr:twoCellAnchor>
  <xdr:twoCellAnchor>
    <xdr:from>
      <xdr:col>2</xdr:col>
      <xdr:colOff>695325</xdr:colOff>
      <xdr:row>119</xdr:row>
      <xdr:rowOff>0</xdr:rowOff>
    </xdr:from>
    <xdr:to>
      <xdr:col>4</xdr:col>
      <xdr:colOff>0</xdr:colOff>
      <xdr:row>119</xdr:row>
      <xdr:rowOff>228600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86025" y="20259675"/>
          <a:ext cx="25622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БЕЙНЕУ АЭЖ</a:t>
          </a:r>
        </a:p>
      </xdr:txBody>
    </xdr:sp>
    <xdr:clientData/>
  </xdr:twoCellAnchor>
  <xdr:twoCellAnchor>
    <xdr:from>
      <xdr:col>3</xdr:col>
      <xdr:colOff>152400</xdr:colOff>
      <xdr:row>138</xdr:row>
      <xdr:rowOff>104775</xdr:rowOff>
    </xdr:from>
    <xdr:to>
      <xdr:col>4</xdr:col>
      <xdr:colOff>228600</xdr:colOff>
      <xdr:row>139</xdr:row>
      <xdr:rowOff>114300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019425" y="23631525"/>
          <a:ext cx="2562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АҚТАУ АЭЖ</a:t>
          </a:r>
        </a:p>
      </xdr:txBody>
    </xdr:sp>
    <xdr:clientData/>
  </xdr:twoCellAnchor>
  <xdr:twoCellAnchor>
    <xdr:from>
      <xdr:col>2</xdr:col>
      <xdr:colOff>496358</xdr:colOff>
      <xdr:row>230</xdr:row>
      <xdr:rowOff>190499</xdr:rowOff>
    </xdr:from>
    <xdr:to>
      <xdr:col>4</xdr:col>
      <xdr:colOff>0</xdr:colOff>
      <xdr:row>232</xdr:row>
      <xdr:rowOff>158750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7058" y="37614224"/>
          <a:ext cx="2562225" cy="36830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БОЗАШЫ АЭЖ</a:t>
          </a:r>
          <a:endParaRPr lang="ru-RU" sz="1400" b="0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  <a:p>
          <a:pPr algn="ctr" rtl="0">
            <a:lnSpc>
              <a:spcPts val="12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</xdr:txBody>
    </xdr:sp>
    <xdr:clientData/>
  </xdr:twoCellAnchor>
  <xdr:twoCellAnchor>
    <xdr:from>
      <xdr:col>2</xdr:col>
      <xdr:colOff>676275</xdr:colOff>
      <xdr:row>260</xdr:row>
      <xdr:rowOff>104775</xdr:rowOff>
    </xdr:from>
    <xdr:to>
      <xdr:col>4</xdr:col>
      <xdr:colOff>0</xdr:colOff>
      <xdr:row>261</xdr:row>
      <xdr:rowOff>152400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66975" y="45491400"/>
          <a:ext cx="25622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ШЕТПЕ АЭЖ</a:t>
          </a:r>
          <a:endParaRPr lang="ru-RU" sz="1400" b="0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 РЭС</a:t>
          </a:r>
        </a:p>
      </xdr:txBody>
    </xdr:sp>
    <xdr:clientData/>
  </xdr:twoCellAnchor>
  <xdr:twoCellAnchor>
    <xdr:from>
      <xdr:col>1</xdr:col>
      <xdr:colOff>66674</xdr:colOff>
      <xdr:row>287</xdr:row>
      <xdr:rowOff>142875</xdr:rowOff>
    </xdr:from>
    <xdr:to>
      <xdr:col>5</xdr:col>
      <xdr:colOff>95249</xdr:colOff>
      <xdr:row>289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14324" y="49730025"/>
          <a:ext cx="57531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ОРҚ бастығы                                      Нугиев О.А.   </a:t>
          </a:r>
          <a:endParaRPr lang="ru-RU" sz="1400" b="0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  <a:p>
          <a:pPr algn="ct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  </a:t>
          </a:r>
        </a:p>
        <a:p>
          <a:pPr algn="ct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 Cyr"/>
            <a:cs typeface="Times New Roman Cyr"/>
          </a:endParaRPr>
        </a:p>
      </xdr:txBody>
    </xdr:sp>
    <xdr:clientData/>
  </xdr:twoCellAnchor>
  <xdr:twoCellAnchor>
    <xdr:from>
      <xdr:col>0</xdr:col>
      <xdr:colOff>85725</xdr:colOff>
      <xdr:row>0</xdr:row>
      <xdr:rowOff>38100</xdr:rowOff>
    </xdr:from>
    <xdr:to>
      <xdr:col>6</xdr:col>
      <xdr:colOff>504825</xdr:colOff>
      <xdr:row>4</xdr:row>
      <xdr:rowOff>114300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5725" y="38100"/>
          <a:ext cx="754380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"Маңғыстау өңірлік электртораптық компаниясы" АҚ </a:t>
          </a:r>
        </a:p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қосалқы станция күштік трансформаторларының жүктеу кестесі  </a:t>
          </a:r>
        </a:p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18.06.2025 ж.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304800</xdr:colOff>
      <xdr:row>72</xdr:row>
      <xdr:rowOff>161925</xdr:rowOff>
    </xdr:from>
    <xdr:to>
      <xdr:col>4</xdr:col>
      <xdr:colOff>361950</xdr:colOff>
      <xdr:row>74</xdr:row>
      <xdr:rowOff>85725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171825" y="12382500"/>
          <a:ext cx="25431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ЖЕТІБАЙ АЭЖ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1"/>
  <sheetViews>
    <sheetView workbookViewId="0">
      <selection activeCell="N6" sqref="N6"/>
    </sheetView>
  </sheetViews>
  <sheetFormatPr defaultRowHeight="15" x14ac:dyDescent="0.25"/>
  <cols>
    <col min="1" max="1" width="6" customWidth="1"/>
    <col min="2" max="2" width="25.7109375" customWidth="1"/>
    <col min="3" max="4" width="21.42578125" customWidth="1"/>
    <col min="5" max="5" width="11.140625" customWidth="1"/>
    <col min="6" max="8" width="11.28515625" customWidth="1"/>
    <col min="9" max="9" width="24.28515625" customWidth="1"/>
    <col min="10" max="10" width="21.85546875" customWidth="1"/>
    <col min="11" max="11" width="7.85546875" customWidth="1"/>
    <col min="12" max="12" width="10.42578125" customWidth="1"/>
    <col min="13" max="13" width="11.140625" customWidth="1"/>
    <col min="14" max="14" width="11.42578125" customWidth="1"/>
    <col min="15" max="15" width="12.28515625" customWidth="1"/>
  </cols>
  <sheetData>
    <row r="2" spans="1:15" ht="18.75" x14ac:dyDescent="0.3">
      <c r="A2" s="1"/>
      <c r="B2" s="232" t="s">
        <v>72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8.75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7.25" x14ac:dyDescent="0.25">
      <c r="A4" s="3" t="s">
        <v>0</v>
      </c>
      <c r="B4" s="4" t="s">
        <v>2</v>
      </c>
      <c r="C4" s="4" t="s">
        <v>3</v>
      </c>
      <c r="D4" s="4" t="s">
        <v>59</v>
      </c>
      <c r="E4" s="4" t="s">
        <v>62</v>
      </c>
      <c r="F4" s="4" t="s">
        <v>30</v>
      </c>
      <c r="G4" s="4" t="s">
        <v>5</v>
      </c>
      <c r="H4" s="4" t="s">
        <v>7</v>
      </c>
      <c r="I4" s="3" t="s">
        <v>1</v>
      </c>
      <c r="J4" s="3" t="s">
        <v>4</v>
      </c>
      <c r="K4" s="4" t="s">
        <v>6</v>
      </c>
      <c r="L4" s="4" t="s">
        <v>30</v>
      </c>
      <c r="M4" s="4" t="s">
        <v>31</v>
      </c>
      <c r="N4" s="4" t="s">
        <v>5</v>
      </c>
      <c r="O4" s="4" t="s">
        <v>7</v>
      </c>
    </row>
    <row r="5" spans="1:15" ht="15.75" x14ac:dyDescent="0.25">
      <c r="A5" s="203">
        <v>1</v>
      </c>
      <c r="B5" s="203" t="s">
        <v>9</v>
      </c>
      <c r="C5" s="233" t="s">
        <v>55</v>
      </c>
      <c r="D5" s="235">
        <f>1.73*110*215*0.85/1000</f>
        <v>34.777324999999998</v>
      </c>
      <c r="E5" s="235">
        <v>12</v>
      </c>
      <c r="F5" s="237">
        <f>E5*100/D5</f>
        <v>34.505241561851008</v>
      </c>
      <c r="G5" s="237">
        <f>100-F5</f>
        <v>65.494758438148992</v>
      </c>
      <c r="H5" s="237">
        <f>D5-E5</f>
        <v>22.777324999999998</v>
      </c>
      <c r="I5" s="5" t="s">
        <v>8</v>
      </c>
      <c r="J5" s="5" t="s">
        <v>10</v>
      </c>
      <c r="K5" s="5">
        <v>13.6</v>
      </c>
      <c r="L5" s="5">
        <v>40</v>
      </c>
      <c r="M5" s="5">
        <v>5.44</v>
      </c>
      <c r="N5" s="5">
        <v>60</v>
      </c>
      <c r="O5" s="5">
        <v>8.16</v>
      </c>
    </row>
    <row r="6" spans="1:15" ht="15.75" x14ac:dyDescent="0.25">
      <c r="A6" s="203"/>
      <c r="B6" s="203"/>
      <c r="C6" s="234"/>
      <c r="D6" s="236"/>
      <c r="E6" s="236"/>
      <c r="F6" s="238"/>
      <c r="G6" s="238"/>
      <c r="H6" s="238"/>
      <c r="I6" s="5" t="s">
        <v>11</v>
      </c>
      <c r="J6" s="5" t="s">
        <v>12</v>
      </c>
      <c r="K6" s="5">
        <v>13.6</v>
      </c>
      <c r="L6" s="5">
        <v>14</v>
      </c>
      <c r="M6" s="5">
        <v>1.9</v>
      </c>
      <c r="N6" s="5">
        <v>86</v>
      </c>
      <c r="O6" s="5">
        <v>11.7</v>
      </c>
    </row>
    <row r="7" spans="1:15" ht="15.75" x14ac:dyDescent="0.25">
      <c r="A7" s="5">
        <v>2</v>
      </c>
      <c r="B7" s="5" t="s">
        <v>14</v>
      </c>
      <c r="C7" s="5" t="s">
        <v>15</v>
      </c>
      <c r="D7" s="7">
        <f>1.73*110*300*0.85/1000</f>
        <v>48.526499999999999</v>
      </c>
      <c r="E7" s="7">
        <v>10</v>
      </c>
      <c r="F7" s="8">
        <f t="shared" ref="F7:F20" si="0">E7*100/D7</f>
        <v>20.607297043883239</v>
      </c>
      <c r="G7" s="8">
        <f t="shared" ref="G7:G10" si="1">100-F7</f>
        <v>79.392702956116764</v>
      </c>
      <c r="H7" s="8">
        <f t="shared" ref="H7:H20" si="2">D7-E7</f>
        <v>38.526499999999999</v>
      </c>
      <c r="I7" s="5" t="s">
        <v>13</v>
      </c>
      <c r="J7" s="5" t="s">
        <v>16</v>
      </c>
      <c r="K7" s="5">
        <v>21.2</v>
      </c>
      <c r="L7" s="5">
        <v>19</v>
      </c>
      <c r="M7" s="5">
        <v>4.03</v>
      </c>
      <c r="N7" s="5">
        <v>81</v>
      </c>
      <c r="O7" s="5">
        <v>17.170000000000002</v>
      </c>
    </row>
    <row r="8" spans="1:15" ht="15.75" x14ac:dyDescent="0.25">
      <c r="A8" s="5">
        <v>3</v>
      </c>
      <c r="B8" s="5" t="s">
        <v>18</v>
      </c>
      <c r="C8" s="5" t="s">
        <v>15</v>
      </c>
      <c r="D8" s="7">
        <f>1.73*110*300*0.85/1000</f>
        <v>48.526499999999999</v>
      </c>
      <c r="E8" s="7">
        <v>8</v>
      </c>
      <c r="F8" s="8">
        <f t="shared" si="0"/>
        <v>16.485837635106591</v>
      </c>
      <c r="G8" s="8">
        <f t="shared" si="1"/>
        <v>83.514162364893409</v>
      </c>
      <c r="H8" s="8">
        <f t="shared" si="2"/>
        <v>40.526499999999999</v>
      </c>
      <c r="I8" s="5" t="s">
        <v>17</v>
      </c>
      <c r="J8" s="5" t="s">
        <v>10</v>
      </c>
      <c r="K8" s="5">
        <v>13.6</v>
      </c>
      <c r="L8" s="5">
        <v>14</v>
      </c>
      <c r="M8" s="5">
        <v>1.9</v>
      </c>
      <c r="N8" s="5">
        <v>86</v>
      </c>
      <c r="O8" s="5">
        <v>11.7</v>
      </c>
    </row>
    <row r="9" spans="1:15" ht="31.5" x14ac:dyDescent="0.25">
      <c r="A9" s="5">
        <v>4</v>
      </c>
      <c r="B9" s="5" t="s">
        <v>14</v>
      </c>
      <c r="C9" s="6" t="s">
        <v>20</v>
      </c>
      <c r="D9" s="7">
        <f t="shared" ref="D9:D10" si="3">1.73*110*300*0.85/1000</f>
        <v>48.526499999999999</v>
      </c>
      <c r="E9" s="7">
        <v>10</v>
      </c>
      <c r="F9" s="8">
        <f t="shared" si="0"/>
        <v>20.607297043883239</v>
      </c>
      <c r="G9" s="8">
        <f t="shared" si="1"/>
        <v>79.392702956116764</v>
      </c>
      <c r="H9" s="8">
        <f t="shared" si="2"/>
        <v>38.526499999999999</v>
      </c>
      <c r="I9" s="5" t="s">
        <v>19</v>
      </c>
      <c r="J9" s="5" t="s">
        <v>21</v>
      </c>
      <c r="K9" s="5">
        <v>34</v>
      </c>
      <c r="L9" s="5">
        <v>22</v>
      </c>
      <c r="M9" s="5">
        <v>7.48</v>
      </c>
      <c r="N9" s="5">
        <v>78</v>
      </c>
      <c r="O9" s="5">
        <v>26.52</v>
      </c>
    </row>
    <row r="10" spans="1:15" ht="15.75" x14ac:dyDescent="0.25">
      <c r="A10" s="5">
        <v>5</v>
      </c>
      <c r="B10" s="5" t="s">
        <v>18</v>
      </c>
      <c r="C10" s="5" t="s">
        <v>15</v>
      </c>
      <c r="D10" s="7">
        <f t="shared" si="3"/>
        <v>48.526499999999999</v>
      </c>
      <c r="E10" s="7">
        <v>8</v>
      </c>
      <c r="F10" s="8">
        <f t="shared" si="0"/>
        <v>16.485837635106591</v>
      </c>
      <c r="G10" s="8">
        <f t="shared" si="1"/>
        <v>83.514162364893409</v>
      </c>
      <c r="H10" s="8">
        <f t="shared" si="2"/>
        <v>40.526499999999999</v>
      </c>
      <c r="I10" s="5" t="s">
        <v>22</v>
      </c>
      <c r="J10" s="5" t="s">
        <v>23</v>
      </c>
      <c r="K10" s="5">
        <v>8.5</v>
      </c>
      <c r="L10" s="5">
        <v>49</v>
      </c>
      <c r="M10" s="5">
        <v>4.0999999999999996</v>
      </c>
      <c r="N10" s="5">
        <v>51</v>
      </c>
      <c r="O10" s="5">
        <v>4.4000000000000004</v>
      </c>
    </row>
    <row r="11" spans="1:15" ht="31.5" x14ac:dyDescent="0.25">
      <c r="A11" s="5">
        <v>6</v>
      </c>
      <c r="B11" s="6" t="s">
        <v>29</v>
      </c>
      <c r="C11" s="5" t="s">
        <v>25</v>
      </c>
      <c r="D11" s="7">
        <f>1.73*110*316*0.85/1000</f>
        <v>51.114580000000004</v>
      </c>
      <c r="E11" s="7" t="s">
        <v>63</v>
      </c>
      <c r="F11" s="8" t="s">
        <v>65</v>
      </c>
      <c r="G11" s="8" t="s">
        <v>67</v>
      </c>
      <c r="H11" s="8" t="s">
        <v>69</v>
      </c>
      <c r="I11" s="5" t="s">
        <v>24</v>
      </c>
      <c r="J11" s="5" t="s">
        <v>26</v>
      </c>
      <c r="K11" s="5">
        <v>21.2</v>
      </c>
      <c r="L11" s="5">
        <v>61</v>
      </c>
      <c r="M11" s="5">
        <v>12.9</v>
      </c>
      <c r="N11" s="5">
        <v>39</v>
      </c>
      <c r="O11" s="5">
        <v>8.3000000000000007</v>
      </c>
    </row>
    <row r="12" spans="1:15" ht="31.5" x14ac:dyDescent="0.25">
      <c r="A12" s="5">
        <v>7</v>
      </c>
      <c r="B12" s="6" t="s">
        <v>60</v>
      </c>
      <c r="C12" s="6" t="s">
        <v>41</v>
      </c>
      <c r="D12" s="7" t="s">
        <v>61</v>
      </c>
      <c r="E12" s="7" t="s">
        <v>64</v>
      </c>
      <c r="F12" s="8" t="s">
        <v>66</v>
      </c>
      <c r="G12" s="8" t="s">
        <v>68</v>
      </c>
      <c r="H12" s="8" t="s">
        <v>70</v>
      </c>
      <c r="I12" s="5" t="s">
        <v>27</v>
      </c>
      <c r="J12" s="5" t="s">
        <v>28</v>
      </c>
      <c r="K12" s="5">
        <v>8.5</v>
      </c>
      <c r="L12" s="5">
        <v>10</v>
      </c>
      <c r="M12" s="5">
        <v>0.85</v>
      </c>
      <c r="N12" s="5">
        <v>90</v>
      </c>
      <c r="O12" s="5">
        <v>7.65</v>
      </c>
    </row>
    <row r="13" spans="1:15" ht="15.75" x14ac:dyDescent="0.25">
      <c r="A13" s="5">
        <v>8</v>
      </c>
      <c r="B13" s="6" t="s">
        <v>33</v>
      </c>
      <c r="C13" s="5" t="s">
        <v>15</v>
      </c>
      <c r="D13" s="7">
        <f t="shared" ref="D13" si="4">1.73*110*300*0.85/1000</f>
        <v>48.526499999999999</v>
      </c>
      <c r="E13" s="7">
        <v>0.4</v>
      </c>
      <c r="F13" s="8">
        <f t="shared" si="0"/>
        <v>0.82429188175532964</v>
      </c>
      <c r="G13" s="8">
        <f>100-F13</f>
        <v>99.175708118244671</v>
      </c>
      <c r="H13" s="8">
        <f t="shared" si="2"/>
        <v>48.1265</v>
      </c>
      <c r="I13" s="5" t="s">
        <v>32</v>
      </c>
      <c r="J13" s="5" t="s">
        <v>34</v>
      </c>
      <c r="K13" s="5">
        <v>5.04</v>
      </c>
      <c r="L13" s="5">
        <v>7</v>
      </c>
      <c r="M13" s="5">
        <v>0.36</v>
      </c>
      <c r="N13" s="5">
        <v>93</v>
      </c>
      <c r="O13" s="5">
        <v>4.68</v>
      </c>
    </row>
    <row r="14" spans="1:15" ht="47.25" x14ac:dyDescent="0.25">
      <c r="A14" s="5">
        <v>9</v>
      </c>
      <c r="B14" s="6" t="s">
        <v>46</v>
      </c>
      <c r="C14" s="5" t="s">
        <v>36</v>
      </c>
      <c r="D14" s="7">
        <f>1.73*35*316*0.85/1000</f>
        <v>16.263729999999999</v>
      </c>
      <c r="E14" s="7">
        <v>0.5</v>
      </c>
      <c r="F14" s="8">
        <f t="shared" si="0"/>
        <v>3.0743255083550944</v>
      </c>
      <c r="G14" s="8">
        <f t="shared" ref="G14:G20" si="5">100-F14</f>
        <v>96.925674491644912</v>
      </c>
      <c r="H14" s="8">
        <f t="shared" si="2"/>
        <v>15.763729999999999</v>
      </c>
      <c r="I14" s="5" t="s">
        <v>35</v>
      </c>
      <c r="J14" s="5" t="s">
        <v>37</v>
      </c>
      <c r="K14" s="5">
        <v>8.5</v>
      </c>
      <c r="L14" s="5">
        <v>20</v>
      </c>
      <c r="M14" s="5">
        <v>1.7</v>
      </c>
      <c r="N14" s="5">
        <v>80</v>
      </c>
      <c r="O14" s="5">
        <v>6.8</v>
      </c>
    </row>
    <row r="15" spans="1:15" ht="15.75" x14ac:dyDescent="0.25">
      <c r="A15" s="5">
        <v>10</v>
      </c>
      <c r="B15" s="6" t="s">
        <v>39</v>
      </c>
      <c r="C15" s="5" t="s">
        <v>40</v>
      </c>
      <c r="D15" s="7">
        <f t="shared" ref="D15:D16" si="6">1.73*110*316*0.85/1000</f>
        <v>51.114580000000004</v>
      </c>
      <c r="E15" s="7">
        <v>1.8</v>
      </c>
      <c r="F15" s="8">
        <f t="shared" si="0"/>
        <v>3.5215001277521987</v>
      </c>
      <c r="G15" s="8">
        <f t="shared" si="5"/>
        <v>96.478499872247795</v>
      </c>
      <c r="H15" s="8">
        <f t="shared" si="2"/>
        <v>49.314580000000007</v>
      </c>
      <c r="I15" s="5" t="s">
        <v>38</v>
      </c>
      <c r="J15" s="5" t="s">
        <v>10</v>
      </c>
      <c r="K15" s="5">
        <v>13.6</v>
      </c>
      <c r="L15" s="5">
        <v>12</v>
      </c>
      <c r="M15" s="5">
        <v>1.63</v>
      </c>
      <c r="N15" s="5">
        <v>88</v>
      </c>
      <c r="O15" s="5">
        <v>11.96</v>
      </c>
    </row>
    <row r="16" spans="1:15" ht="15.75" x14ac:dyDescent="0.25">
      <c r="A16" s="5">
        <v>11</v>
      </c>
      <c r="B16" s="6" t="s">
        <v>43</v>
      </c>
      <c r="C16" s="5" t="s">
        <v>25</v>
      </c>
      <c r="D16" s="7">
        <f t="shared" si="6"/>
        <v>51.114580000000004</v>
      </c>
      <c r="E16" s="7">
        <v>9.5</v>
      </c>
      <c r="F16" s="8">
        <f t="shared" si="0"/>
        <v>18.585695118692161</v>
      </c>
      <c r="G16" s="8">
        <f t="shared" si="5"/>
        <v>81.414304881307842</v>
      </c>
      <c r="H16" s="8">
        <f t="shared" si="2"/>
        <v>41.614580000000004</v>
      </c>
      <c r="I16" s="5" t="s">
        <v>42</v>
      </c>
      <c r="J16" s="5" t="s">
        <v>16</v>
      </c>
      <c r="K16" s="5">
        <v>21.2</v>
      </c>
      <c r="L16" s="5">
        <v>42</v>
      </c>
      <c r="M16" s="5">
        <v>8.9039999999999999</v>
      </c>
      <c r="N16" s="5">
        <v>58</v>
      </c>
      <c r="O16" s="5">
        <v>12.295999999999999</v>
      </c>
    </row>
    <row r="17" spans="1:15" ht="15.75" x14ac:dyDescent="0.25">
      <c r="A17" s="5">
        <v>12</v>
      </c>
      <c r="B17" s="6" t="s">
        <v>45</v>
      </c>
      <c r="C17" s="5" t="s">
        <v>47</v>
      </c>
      <c r="D17" s="7">
        <f>1.73*35*300*0.85/1000</f>
        <v>15.440250000000001</v>
      </c>
      <c r="E17" s="7">
        <v>0.6</v>
      </c>
      <c r="F17" s="8">
        <f t="shared" si="0"/>
        <v>3.8859474425608393</v>
      </c>
      <c r="G17" s="8">
        <f t="shared" si="5"/>
        <v>96.114052557439166</v>
      </c>
      <c r="H17" s="8">
        <f t="shared" si="2"/>
        <v>14.840250000000001</v>
      </c>
      <c r="I17" s="5" t="s">
        <v>44</v>
      </c>
      <c r="J17" s="5" t="s">
        <v>48</v>
      </c>
      <c r="K17" s="5">
        <v>5.04</v>
      </c>
      <c r="L17" s="5">
        <v>10</v>
      </c>
      <c r="M17" s="5">
        <v>0.504</v>
      </c>
      <c r="N17" s="5">
        <v>90</v>
      </c>
      <c r="O17" s="5">
        <v>4.5359999999999996</v>
      </c>
    </row>
    <row r="18" spans="1:15" ht="31.5" x14ac:dyDescent="0.25">
      <c r="A18" s="5">
        <v>13</v>
      </c>
      <c r="B18" s="6" t="s">
        <v>50</v>
      </c>
      <c r="C18" s="6" t="s">
        <v>51</v>
      </c>
      <c r="D18" s="7">
        <f>1.73*35*215*0.85/1000</f>
        <v>11.065512499999999</v>
      </c>
      <c r="E18" s="7">
        <v>0.96</v>
      </c>
      <c r="F18" s="8">
        <f t="shared" si="0"/>
        <v>8.6756035926939674</v>
      </c>
      <c r="G18" s="8">
        <f t="shared" si="5"/>
        <v>91.32439640730604</v>
      </c>
      <c r="H18" s="8">
        <f t="shared" si="2"/>
        <v>10.1055125</v>
      </c>
      <c r="I18" s="5" t="s">
        <v>49</v>
      </c>
      <c r="J18" s="5" t="s">
        <v>52</v>
      </c>
      <c r="K18" s="5">
        <v>3.2</v>
      </c>
      <c r="L18" s="5">
        <v>12</v>
      </c>
      <c r="M18" s="5">
        <v>0.38400000000000001</v>
      </c>
      <c r="N18" s="5">
        <v>88</v>
      </c>
      <c r="O18" s="5">
        <v>2.8159999999999998</v>
      </c>
    </row>
    <row r="19" spans="1:15" ht="15.75" x14ac:dyDescent="0.25">
      <c r="A19" s="5">
        <v>14</v>
      </c>
      <c r="B19" s="6" t="s">
        <v>54</v>
      </c>
      <c r="C19" s="6" t="s">
        <v>55</v>
      </c>
      <c r="D19" s="7">
        <f t="shared" ref="D19:D20" si="7">1.73*35*215*0.85/1000</f>
        <v>11.065512499999999</v>
      </c>
      <c r="E19" s="7">
        <v>0.4</v>
      </c>
      <c r="F19" s="8">
        <f t="shared" si="0"/>
        <v>3.6148348302891531</v>
      </c>
      <c r="G19" s="8">
        <f t="shared" si="5"/>
        <v>96.385165169710845</v>
      </c>
      <c r="H19" s="8">
        <f t="shared" si="2"/>
        <v>10.665512499999998</v>
      </c>
      <c r="I19" s="5" t="s">
        <v>53</v>
      </c>
      <c r="J19" s="5" t="s">
        <v>56</v>
      </c>
      <c r="K19" s="5">
        <v>2</v>
      </c>
      <c r="L19" s="5">
        <v>18</v>
      </c>
      <c r="M19" s="5">
        <v>0.36</v>
      </c>
      <c r="N19" s="5">
        <v>82</v>
      </c>
      <c r="O19" s="5">
        <v>1.64</v>
      </c>
    </row>
    <row r="20" spans="1:15" ht="15.75" x14ac:dyDescent="0.25">
      <c r="A20" s="5">
        <v>15</v>
      </c>
      <c r="B20" s="6" t="s">
        <v>58</v>
      </c>
      <c r="C20" s="5" t="s">
        <v>55</v>
      </c>
      <c r="D20" s="7">
        <f t="shared" si="7"/>
        <v>11.065512499999999</v>
      </c>
      <c r="E20" s="7">
        <v>0.4</v>
      </c>
      <c r="F20" s="8">
        <f t="shared" si="0"/>
        <v>3.6148348302891531</v>
      </c>
      <c r="G20" s="8">
        <f t="shared" si="5"/>
        <v>96.385165169710845</v>
      </c>
      <c r="H20" s="8">
        <f t="shared" si="2"/>
        <v>10.665512499999998</v>
      </c>
      <c r="I20" s="5" t="s">
        <v>57</v>
      </c>
      <c r="J20" s="5" t="s">
        <v>52</v>
      </c>
      <c r="K20" s="5">
        <v>3.2</v>
      </c>
      <c r="L20" s="5">
        <v>3</v>
      </c>
      <c r="M20" s="5">
        <v>9.6000000000000002E-2</v>
      </c>
      <c r="N20" s="5">
        <v>97</v>
      </c>
      <c r="O20" s="5">
        <v>3.1040000000000001</v>
      </c>
    </row>
    <row r="21" spans="1:15" ht="15.75" x14ac:dyDescent="0.25">
      <c r="A21" s="9"/>
      <c r="B21" s="3" t="s">
        <v>71</v>
      </c>
      <c r="C21" s="9"/>
      <c r="D21" s="10">
        <f>SUM(D5:D20)</f>
        <v>495.65408250000002</v>
      </c>
      <c r="E21" s="10">
        <f>SUM(E5:E20)</f>
        <v>62.559999999999995</v>
      </c>
      <c r="F21" s="9"/>
      <c r="G21" s="9"/>
      <c r="H21" s="11">
        <f t="shared" ref="H21" si="8">SUM(H5:H20)</f>
        <v>381.97950249999991</v>
      </c>
      <c r="I21" s="9"/>
      <c r="J21" s="9"/>
      <c r="K21" s="3">
        <f t="shared" ref="K21" si="9">SUM(K5:K20)</f>
        <v>195.97999999999993</v>
      </c>
      <c r="L21" s="3"/>
      <c r="M21" s="3">
        <f t="shared" ref="M21" si="10">SUM(M5:M20)</f>
        <v>52.537999999999997</v>
      </c>
      <c r="N21" s="3"/>
      <c r="O21" s="3">
        <f>SUM(O5:O20)</f>
        <v>143.43199999999999</v>
      </c>
    </row>
  </sheetData>
  <mergeCells count="9">
    <mergeCell ref="A5:A6"/>
    <mergeCell ref="B5:B6"/>
    <mergeCell ref="B2:O2"/>
    <mergeCell ref="C5:C6"/>
    <mergeCell ref="D5:D6"/>
    <mergeCell ref="E5:E6"/>
    <mergeCell ref="F5:F6"/>
    <mergeCell ref="G5:G6"/>
    <mergeCell ref="H5:H6"/>
  </mergeCells>
  <phoneticPr fontId="1" type="noConversion"/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9"/>
  <sheetViews>
    <sheetView topLeftCell="A16" workbookViewId="0">
      <selection activeCell="G6" sqref="G6"/>
    </sheetView>
  </sheetViews>
  <sheetFormatPr defaultRowHeight="15" x14ac:dyDescent="0.25"/>
  <cols>
    <col min="2" max="2" width="17.28515625" customWidth="1"/>
    <col min="4" max="4" width="19.28515625" customWidth="1"/>
    <col min="5" max="5" width="14.28515625" customWidth="1"/>
    <col min="9" max="9" width="9.140625" customWidth="1"/>
    <col min="10" max="10" width="13" customWidth="1"/>
    <col min="11" max="11" width="13.5703125" customWidth="1"/>
    <col min="14" max="14" width="12.85546875" customWidth="1"/>
    <col min="16" max="16" width="19" customWidth="1"/>
  </cols>
  <sheetData>
    <row r="1" spans="1:22" ht="27" x14ac:dyDescent="0.35">
      <c r="M1" s="242" t="s">
        <v>84</v>
      </c>
      <c r="N1" s="242"/>
      <c r="O1" s="242"/>
      <c r="P1" s="242"/>
      <c r="Q1" s="242"/>
      <c r="R1" s="242"/>
      <c r="S1" s="242"/>
      <c r="T1" s="242"/>
      <c r="U1" s="242"/>
      <c r="V1" s="242"/>
    </row>
    <row r="3" spans="1:22" ht="17.25" customHeight="1" x14ac:dyDescent="0.25">
      <c r="B3" s="244" t="s">
        <v>82</v>
      </c>
      <c r="C3" s="244"/>
      <c r="D3" s="244"/>
      <c r="E3" s="244"/>
      <c r="F3" s="244"/>
      <c r="N3" s="241" t="s">
        <v>82</v>
      </c>
      <c r="O3" s="241"/>
      <c r="P3" s="241"/>
      <c r="Q3" s="241"/>
      <c r="R3" s="241"/>
    </row>
    <row r="4" spans="1:22" x14ac:dyDescent="0.25">
      <c r="J4" s="31" t="s">
        <v>87</v>
      </c>
      <c r="K4" s="21" t="s">
        <v>88</v>
      </c>
    </row>
    <row r="5" spans="1:22" ht="15.75" x14ac:dyDescent="0.25">
      <c r="A5" s="12" t="s">
        <v>73</v>
      </c>
      <c r="B5" s="13" t="s">
        <v>74</v>
      </c>
      <c r="C5" s="14" t="s">
        <v>75</v>
      </c>
      <c r="D5" s="13" t="s">
        <v>76</v>
      </c>
      <c r="E5" s="14" t="s">
        <v>77</v>
      </c>
      <c r="F5" s="14">
        <v>126</v>
      </c>
      <c r="G5" s="15">
        <f>50</f>
        <v>50</v>
      </c>
      <c r="H5" s="16">
        <f t="shared" ref="H5:H10" si="0">G5/F5*100</f>
        <v>39.682539682539684</v>
      </c>
      <c r="I5" s="34">
        <f>(G5+'Лист3 (2)'!H298)/F5</f>
        <v>0.3968253968253968</v>
      </c>
      <c r="J5" s="38">
        <v>8</v>
      </c>
      <c r="K5" s="243" t="s">
        <v>86</v>
      </c>
      <c r="M5" s="12" t="s">
        <v>73</v>
      </c>
      <c r="N5" s="13" t="s">
        <v>74</v>
      </c>
      <c r="O5" s="14" t="s">
        <v>75</v>
      </c>
      <c r="P5" s="13" t="s">
        <v>76</v>
      </c>
      <c r="Q5" s="14" t="s">
        <v>77</v>
      </c>
      <c r="R5" s="14">
        <v>126</v>
      </c>
      <c r="S5" s="15">
        <f>50+6</f>
        <v>56</v>
      </c>
      <c r="T5" s="16">
        <f t="shared" ref="T5:T10" si="1">S5/R5*100</f>
        <v>44.444444444444443</v>
      </c>
      <c r="U5" s="17">
        <f>(S5+S8)/R5</f>
        <v>1.0476190476190477</v>
      </c>
    </row>
    <row r="6" spans="1:22" ht="15.75" x14ac:dyDescent="0.25">
      <c r="A6" s="12"/>
      <c r="B6" s="13"/>
      <c r="C6" s="14" t="s">
        <v>78</v>
      </c>
      <c r="D6" s="13"/>
      <c r="E6" s="14" t="s">
        <v>79</v>
      </c>
      <c r="F6" s="14">
        <v>375</v>
      </c>
      <c r="G6" s="18">
        <f>80</f>
        <v>80</v>
      </c>
      <c r="H6" s="16">
        <f t="shared" si="0"/>
        <v>21.333333333333336</v>
      </c>
      <c r="I6" s="34">
        <f>(G6+G9)/F6</f>
        <v>0.48</v>
      </c>
      <c r="J6" s="38">
        <v>4</v>
      </c>
      <c r="K6" s="243"/>
      <c r="M6" s="12"/>
      <c r="N6" s="13"/>
      <c r="O6" s="14" t="s">
        <v>78</v>
      </c>
      <c r="P6" s="13"/>
      <c r="Q6" s="14" t="s">
        <v>79</v>
      </c>
      <c r="R6" s="14">
        <v>375</v>
      </c>
      <c r="S6" s="18">
        <f>80+19</f>
        <v>99</v>
      </c>
      <c r="T6" s="16">
        <f t="shared" si="1"/>
        <v>26.400000000000002</v>
      </c>
      <c r="U6" s="17">
        <f>(S6+S9)/R6</f>
        <v>0.58133333333333337</v>
      </c>
    </row>
    <row r="7" spans="1:22" ht="15.75" x14ac:dyDescent="0.25">
      <c r="A7" s="12"/>
      <c r="B7" s="13"/>
      <c r="C7" s="14" t="s">
        <v>78</v>
      </c>
      <c r="D7" s="13"/>
      <c r="E7" s="14" t="s">
        <v>80</v>
      </c>
      <c r="F7" s="14">
        <v>2178</v>
      </c>
      <c r="G7" s="18">
        <f>140</f>
        <v>140</v>
      </c>
      <c r="H7" s="16">
        <f t="shared" si="0"/>
        <v>6.4279155188246104</v>
      </c>
      <c r="I7" s="34">
        <f>(G7+G10)/F7</f>
        <v>0.14692378328741965</v>
      </c>
      <c r="J7" s="39">
        <v>1</v>
      </c>
      <c r="K7" s="243"/>
      <c r="M7" s="12"/>
      <c r="N7" s="13"/>
      <c r="O7" s="14" t="s">
        <v>78</v>
      </c>
      <c r="P7" s="13"/>
      <c r="Q7" s="14" t="s">
        <v>80</v>
      </c>
      <c r="R7" s="14">
        <v>2178</v>
      </c>
      <c r="S7" s="18">
        <f>140+113</f>
        <v>253</v>
      </c>
      <c r="T7" s="16">
        <f t="shared" si="1"/>
        <v>11.616161616161616</v>
      </c>
      <c r="U7" s="17">
        <f>(S7+S10)/R7</f>
        <v>0.25068870523415976</v>
      </c>
    </row>
    <row r="8" spans="1:22" ht="15.75" x14ac:dyDescent="0.25">
      <c r="A8" s="12"/>
      <c r="B8" s="13"/>
      <c r="C8" s="14" t="s">
        <v>81</v>
      </c>
      <c r="D8" s="13" t="s">
        <v>76</v>
      </c>
      <c r="E8" s="14" t="s">
        <v>77</v>
      </c>
      <c r="F8" s="14">
        <v>126</v>
      </c>
      <c r="G8" s="15">
        <f>70</f>
        <v>70</v>
      </c>
      <c r="H8" s="16">
        <f t="shared" si="0"/>
        <v>55.555555555555557</v>
      </c>
      <c r="I8" s="34">
        <f>(G5+G8)/F8</f>
        <v>0.95238095238095233</v>
      </c>
      <c r="J8" s="38">
        <v>11.5</v>
      </c>
      <c r="K8" s="243" t="s">
        <v>86</v>
      </c>
      <c r="M8" s="12"/>
      <c r="N8" s="13"/>
      <c r="O8" s="14" t="s">
        <v>81</v>
      </c>
      <c r="P8" s="13" t="s">
        <v>76</v>
      </c>
      <c r="Q8" s="14" t="s">
        <v>77</v>
      </c>
      <c r="R8" s="14">
        <v>126</v>
      </c>
      <c r="S8" s="15">
        <f>70+6</f>
        <v>76</v>
      </c>
      <c r="T8" s="16">
        <f t="shared" si="1"/>
        <v>60.317460317460316</v>
      </c>
      <c r="U8" s="17">
        <f>(S5+S8)/R8</f>
        <v>1.0476190476190477</v>
      </c>
    </row>
    <row r="9" spans="1:22" ht="15.75" x14ac:dyDescent="0.25">
      <c r="A9" s="12"/>
      <c r="B9" s="13"/>
      <c r="C9" s="14" t="s">
        <v>78</v>
      </c>
      <c r="D9" s="13"/>
      <c r="E9" s="14" t="s">
        <v>79</v>
      </c>
      <c r="F9" s="14">
        <v>375</v>
      </c>
      <c r="G9" s="14">
        <f>100</f>
        <v>100</v>
      </c>
      <c r="H9" s="16">
        <f t="shared" si="0"/>
        <v>26.666666666666668</v>
      </c>
      <c r="I9" s="35">
        <f>(G6+G9)/F9</f>
        <v>0.48</v>
      </c>
      <c r="J9" s="38">
        <v>5</v>
      </c>
      <c r="K9" s="243"/>
      <c r="M9" s="12"/>
      <c r="N9" s="13"/>
      <c r="O9" s="14" t="s">
        <v>78</v>
      </c>
      <c r="P9" s="13"/>
      <c r="Q9" s="14" t="s">
        <v>79</v>
      </c>
      <c r="R9" s="14">
        <v>375</v>
      </c>
      <c r="S9" s="14">
        <f>100+19</f>
        <v>119</v>
      </c>
      <c r="T9" s="16">
        <f t="shared" si="1"/>
        <v>31.733333333333334</v>
      </c>
      <c r="U9" s="19">
        <f>(S6+S9)/R9</f>
        <v>0.58133333333333337</v>
      </c>
    </row>
    <row r="10" spans="1:22" ht="15.75" x14ac:dyDescent="0.25">
      <c r="A10" s="12"/>
      <c r="B10" s="13"/>
      <c r="C10" s="14" t="s">
        <v>78</v>
      </c>
      <c r="D10" s="13"/>
      <c r="E10" s="14" t="s">
        <v>80</v>
      </c>
      <c r="F10" s="14">
        <v>2178</v>
      </c>
      <c r="G10" s="14">
        <f>180</f>
        <v>180</v>
      </c>
      <c r="H10" s="16">
        <f t="shared" si="0"/>
        <v>8.2644628099173563</v>
      </c>
      <c r="I10" s="36">
        <f>(G7+G10)/F10</f>
        <v>0.14692378328741965</v>
      </c>
      <c r="J10" s="38">
        <v>1</v>
      </c>
      <c r="K10" s="243"/>
      <c r="M10" s="12"/>
      <c r="N10" s="13"/>
      <c r="O10" s="14" t="s">
        <v>78</v>
      </c>
      <c r="P10" s="13"/>
      <c r="Q10" s="14" t="s">
        <v>80</v>
      </c>
      <c r="R10" s="14">
        <v>2178</v>
      </c>
      <c r="S10" s="14">
        <f>180+113</f>
        <v>293</v>
      </c>
      <c r="T10" s="16">
        <f t="shared" si="1"/>
        <v>13.452708907254362</v>
      </c>
      <c r="U10" s="20">
        <f>(S7+S10)/R10</f>
        <v>0.25068870523415976</v>
      </c>
    </row>
    <row r="11" spans="1:22" ht="18" customHeight="1" x14ac:dyDescent="0.25">
      <c r="A11" s="32"/>
      <c r="B11" s="32"/>
      <c r="C11" s="32"/>
      <c r="D11" s="33" t="s">
        <v>89</v>
      </c>
      <c r="E11" s="32"/>
      <c r="F11" s="32"/>
      <c r="G11" s="32"/>
      <c r="H11" s="32"/>
      <c r="I11" s="37"/>
      <c r="J11" s="38">
        <v>30.5</v>
      </c>
    </row>
    <row r="14" spans="1:22" ht="24" customHeight="1" x14ac:dyDescent="0.25">
      <c r="B14" s="244" t="s">
        <v>83</v>
      </c>
      <c r="C14" s="244"/>
      <c r="D14" s="244"/>
      <c r="E14" s="244"/>
      <c r="F14" s="244"/>
      <c r="O14" s="28" t="s">
        <v>85</v>
      </c>
      <c r="P14" s="28"/>
      <c r="Q14" s="28"/>
      <c r="R14" s="28"/>
      <c r="S14" s="28"/>
    </row>
    <row r="16" spans="1:22" ht="15.75" x14ac:dyDescent="0.25">
      <c r="A16" s="12" t="s">
        <v>73</v>
      </c>
      <c r="B16" s="13" t="s">
        <v>74</v>
      </c>
      <c r="C16" s="14" t="s">
        <v>75</v>
      </c>
      <c r="D16" s="13" t="s">
        <v>76</v>
      </c>
      <c r="E16" s="14" t="s">
        <v>77</v>
      </c>
      <c r="F16" s="14">
        <v>126</v>
      </c>
      <c r="G16" s="15">
        <f>30</f>
        <v>30</v>
      </c>
      <c r="H16" s="16">
        <f>G16/F16*100</f>
        <v>23.809523809523807</v>
      </c>
      <c r="I16" s="17">
        <f>(G16+G19)/F16</f>
        <v>0.7142857142857143</v>
      </c>
      <c r="M16" s="12" t="s">
        <v>73</v>
      </c>
      <c r="N16" s="13" t="s">
        <v>74</v>
      </c>
      <c r="O16" s="14" t="s">
        <v>75</v>
      </c>
      <c r="P16" s="13" t="s">
        <v>76</v>
      </c>
      <c r="Q16" s="14" t="s">
        <v>77</v>
      </c>
      <c r="R16" s="14">
        <v>126</v>
      </c>
      <c r="S16" s="15">
        <f>30+6</f>
        <v>36</v>
      </c>
      <c r="T16" s="16">
        <f t="shared" ref="T16:T21" si="2">S16/R16*100</f>
        <v>28.571428571428569</v>
      </c>
      <c r="U16" s="17">
        <f>(S16+S19)/R16</f>
        <v>0.80952380952380953</v>
      </c>
    </row>
    <row r="17" spans="1:22" ht="15.75" x14ac:dyDescent="0.25">
      <c r="A17" s="12"/>
      <c r="B17" s="13"/>
      <c r="C17" s="14" t="s">
        <v>78</v>
      </c>
      <c r="D17" s="13"/>
      <c r="E17" s="14" t="s">
        <v>79</v>
      </c>
      <c r="F17" s="14">
        <v>375</v>
      </c>
      <c r="G17" s="18">
        <f>80</f>
        <v>80</v>
      </c>
      <c r="H17" s="16">
        <f t="shared" ref="H17:H21" si="3">G17/F17*100</f>
        <v>21.333333333333336</v>
      </c>
      <c r="I17" s="17">
        <f>(G17+G20)/F17</f>
        <v>0.56000000000000005</v>
      </c>
      <c r="M17" s="12"/>
      <c r="N17" s="13"/>
      <c r="O17" s="14" t="s">
        <v>78</v>
      </c>
      <c r="P17" s="13"/>
      <c r="Q17" s="14" t="s">
        <v>79</v>
      </c>
      <c r="R17" s="14">
        <v>375</v>
      </c>
      <c r="S17" s="18">
        <f>80+19</f>
        <v>99</v>
      </c>
      <c r="T17" s="16">
        <f t="shared" si="2"/>
        <v>26.400000000000002</v>
      </c>
      <c r="U17" s="17">
        <f>(S17+S20)/R17</f>
        <v>0.66133333333333333</v>
      </c>
    </row>
    <row r="18" spans="1:22" ht="15.75" x14ac:dyDescent="0.25">
      <c r="A18" s="12"/>
      <c r="B18" s="13"/>
      <c r="C18" s="14" t="s">
        <v>78</v>
      </c>
      <c r="D18" s="13"/>
      <c r="E18" s="14" t="s">
        <v>80</v>
      </c>
      <c r="F18" s="14">
        <v>2178</v>
      </c>
      <c r="G18" s="18">
        <f>140</f>
        <v>140</v>
      </c>
      <c r="H18" s="16">
        <f t="shared" si="3"/>
        <v>6.4279155188246104</v>
      </c>
      <c r="I18" s="17">
        <f>(G18+G21)/F18</f>
        <v>0.12855831037649221</v>
      </c>
      <c r="M18" s="12"/>
      <c r="N18" s="13"/>
      <c r="O18" s="14" t="s">
        <v>78</v>
      </c>
      <c r="P18" s="13"/>
      <c r="Q18" s="14" t="s">
        <v>80</v>
      </c>
      <c r="R18" s="14">
        <v>2178</v>
      </c>
      <c r="S18" s="18">
        <f>140+113</f>
        <v>253</v>
      </c>
      <c r="T18" s="16">
        <f t="shared" si="2"/>
        <v>11.616161616161616</v>
      </c>
      <c r="U18" s="17">
        <f>(S18+S21)/R18</f>
        <v>0.23232323232323232</v>
      </c>
    </row>
    <row r="19" spans="1:22" ht="15.75" x14ac:dyDescent="0.25">
      <c r="A19" s="12"/>
      <c r="B19" s="13"/>
      <c r="C19" s="14" t="s">
        <v>81</v>
      </c>
      <c r="D19" s="13" t="s">
        <v>76</v>
      </c>
      <c r="E19" s="14" t="s">
        <v>77</v>
      </c>
      <c r="F19" s="14">
        <v>126</v>
      </c>
      <c r="G19" s="15">
        <f>60</f>
        <v>60</v>
      </c>
      <c r="H19" s="16">
        <f t="shared" si="3"/>
        <v>47.619047619047613</v>
      </c>
      <c r="I19" s="17">
        <f>(G16+G19)/F19</f>
        <v>0.7142857142857143</v>
      </c>
      <c r="M19" s="12"/>
      <c r="N19" s="13"/>
      <c r="O19" s="14" t="s">
        <v>81</v>
      </c>
      <c r="P19" s="13" t="s">
        <v>76</v>
      </c>
      <c r="Q19" s="14" t="s">
        <v>77</v>
      </c>
      <c r="R19" s="14">
        <v>126</v>
      </c>
      <c r="S19" s="15">
        <f>60+6</f>
        <v>66</v>
      </c>
      <c r="T19" s="16">
        <f t="shared" si="2"/>
        <v>52.380952380952387</v>
      </c>
      <c r="U19" s="17">
        <f>(S16+S19)/R19</f>
        <v>0.80952380952380953</v>
      </c>
    </row>
    <row r="20" spans="1:22" ht="15.75" x14ac:dyDescent="0.25">
      <c r="A20" s="12"/>
      <c r="B20" s="13"/>
      <c r="C20" s="14" t="s">
        <v>78</v>
      </c>
      <c r="D20" s="13"/>
      <c r="E20" s="14" t="s">
        <v>79</v>
      </c>
      <c r="F20" s="14">
        <v>375</v>
      </c>
      <c r="G20" s="14">
        <f>130</f>
        <v>130</v>
      </c>
      <c r="H20" s="16">
        <f t="shared" si="3"/>
        <v>34.666666666666671</v>
      </c>
      <c r="I20" s="19">
        <f>(G17+G20)/F20</f>
        <v>0.56000000000000005</v>
      </c>
      <c r="M20" s="12"/>
      <c r="N20" s="13"/>
      <c r="O20" s="14" t="s">
        <v>78</v>
      </c>
      <c r="P20" s="13"/>
      <c r="Q20" s="14" t="s">
        <v>79</v>
      </c>
      <c r="R20" s="14">
        <v>375</v>
      </c>
      <c r="S20" s="14">
        <f>130+19</f>
        <v>149</v>
      </c>
      <c r="T20" s="16">
        <f t="shared" si="2"/>
        <v>39.733333333333334</v>
      </c>
      <c r="U20" s="19">
        <f>(S17+S20)/R20</f>
        <v>0.66133333333333333</v>
      </c>
    </row>
    <row r="21" spans="1:22" ht="15.75" x14ac:dyDescent="0.25">
      <c r="A21" s="12"/>
      <c r="B21" s="13"/>
      <c r="C21" s="14" t="s">
        <v>78</v>
      </c>
      <c r="D21" s="13"/>
      <c r="E21" s="14" t="s">
        <v>80</v>
      </c>
      <c r="F21" s="14">
        <v>2178</v>
      </c>
      <c r="G21" s="14">
        <f>140</f>
        <v>140</v>
      </c>
      <c r="H21" s="16">
        <f t="shared" si="3"/>
        <v>6.4279155188246104</v>
      </c>
      <c r="I21" s="20">
        <f>(G18+G21)/F21</f>
        <v>0.12855831037649221</v>
      </c>
      <c r="M21" s="12"/>
      <c r="N21" s="13"/>
      <c r="O21" s="14" t="s">
        <v>78</v>
      </c>
      <c r="P21" s="13"/>
      <c r="Q21" s="14" t="s">
        <v>80</v>
      </c>
      <c r="R21" s="14">
        <v>2178</v>
      </c>
      <c r="S21" s="14">
        <f>140+113</f>
        <v>253</v>
      </c>
      <c r="T21" s="16">
        <f t="shared" si="2"/>
        <v>11.616161616161616</v>
      </c>
      <c r="U21" s="20">
        <f>(S18+S21)/R21</f>
        <v>0.23232323232323232</v>
      </c>
    </row>
    <row r="22" spans="1:22" ht="15.75" x14ac:dyDescent="0.25">
      <c r="A22" s="22"/>
      <c r="B22" s="23"/>
      <c r="C22" s="24"/>
      <c r="D22" s="23"/>
      <c r="E22" s="24"/>
      <c r="F22" s="24"/>
      <c r="G22" s="24"/>
      <c r="H22" s="25"/>
      <c r="I22" s="26"/>
    </row>
    <row r="24" spans="1:22" ht="28.5" customHeight="1" x14ac:dyDescent="0.35">
      <c r="B24" s="242"/>
      <c r="C24" s="245"/>
      <c r="D24" s="245"/>
      <c r="E24" s="245"/>
      <c r="F24" s="245"/>
      <c r="G24" s="245"/>
      <c r="M24" s="242" t="s">
        <v>84</v>
      </c>
      <c r="N24" s="242"/>
      <c r="O24" s="242"/>
      <c r="P24" s="242"/>
      <c r="Q24" s="242"/>
      <c r="R24" s="242"/>
      <c r="S24" s="242"/>
      <c r="T24" s="242"/>
      <c r="U24" s="242"/>
      <c r="V24" s="242"/>
    </row>
    <row r="25" spans="1:22" ht="21" customHeight="1" x14ac:dyDescent="0.35">
      <c r="B25" s="27"/>
      <c r="C25" s="21"/>
      <c r="D25" s="21"/>
      <c r="E25" s="21"/>
      <c r="F25" s="21"/>
      <c r="G25" s="21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24" customHeight="1" x14ac:dyDescent="0.25">
      <c r="B26" s="240" t="s">
        <v>82</v>
      </c>
      <c r="C26" s="240"/>
      <c r="D26" s="240"/>
      <c r="E26" s="240"/>
      <c r="F26" s="240"/>
      <c r="G26" s="240"/>
      <c r="H26" s="240"/>
      <c r="N26" s="240" t="s">
        <v>82</v>
      </c>
      <c r="O26" s="240"/>
      <c r="P26" s="240"/>
      <c r="Q26" s="240"/>
      <c r="R26" s="240"/>
      <c r="S26" s="240"/>
      <c r="T26" s="240"/>
    </row>
    <row r="27" spans="1:22" ht="21.75" customHeight="1" x14ac:dyDescent="0.25">
      <c r="G27" s="41" t="s">
        <v>91</v>
      </c>
      <c r="H27" s="41" t="s">
        <v>92</v>
      </c>
      <c r="J27" s="31"/>
      <c r="K27" s="21"/>
      <c r="S27" s="41" t="s">
        <v>91</v>
      </c>
      <c r="T27" s="41" t="s">
        <v>92</v>
      </c>
    </row>
    <row r="28" spans="1:22" ht="15.75" x14ac:dyDescent="0.25">
      <c r="A28" s="12" t="s">
        <v>73</v>
      </c>
      <c r="B28" s="13" t="s">
        <v>74</v>
      </c>
      <c r="C28" s="14" t="s">
        <v>75</v>
      </c>
      <c r="D28" s="13" t="s">
        <v>76</v>
      </c>
      <c r="E28" s="14" t="s">
        <v>77</v>
      </c>
      <c r="F28" s="249" t="s">
        <v>90</v>
      </c>
      <c r="G28" s="15">
        <f>50</f>
        <v>50</v>
      </c>
      <c r="H28" s="38">
        <v>8</v>
      </c>
      <c r="I28" s="29"/>
      <c r="J28" s="40"/>
      <c r="K28" s="252"/>
      <c r="M28" s="12" t="s">
        <v>73</v>
      </c>
      <c r="N28" s="13" t="s">
        <v>74</v>
      </c>
      <c r="O28" s="14" t="s">
        <v>75</v>
      </c>
      <c r="P28" s="13" t="s">
        <v>76</v>
      </c>
      <c r="Q28" s="14" t="s">
        <v>77</v>
      </c>
      <c r="R28" s="249" t="s">
        <v>90</v>
      </c>
      <c r="S28" s="15">
        <f>50</f>
        <v>50</v>
      </c>
      <c r="T28" s="38">
        <v>9</v>
      </c>
    </row>
    <row r="29" spans="1:22" ht="15.75" x14ac:dyDescent="0.25">
      <c r="A29" s="12"/>
      <c r="B29" s="13"/>
      <c r="C29" s="14" t="s">
        <v>78</v>
      </c>
      <c r="D29" s="13"/>
      <c r="E29" s="14" t="s">
        <v>79</v>
      </c>
      <c r="F29" s="250"/>
      <c r="G29" s="18">
        <f>80</f>
        <v>80</v>
      </c>
      <c r="H29" s="38">
        <v>4</v>
      </c>
      <c r="I29" s="29"/>
      <c r="J29" s="40"/>
      <c r="K29" s="252"/>
      <c r="M29" s="12"/>
      <c r="N29" s="13"/>
      <c r="O29" s="14" t="s">
        <v>78</v>
      </c>
      <c r="P29" s="13"/>
      <c r="Q29" s="14" t="s">
        <v>79</v>
      </c>
      <c r="R29" s="250"/>
      <c r="S29" s="18">
        <f>80</f>
        <v>80</v>
      </c>
      <c r="T29" s="38">
        <v>5</v>
      </c>
    </row>
    <row r="30" spans="1:22" ht="15.75" x14ac:dyDescent="0.25">
      <c r="A30" s="12"/>
      <c r="B30" s="13"/>
      <c r="C30" s="14" t="s">
        <v>78</v>
      </c>
      <c r="D30" s="13"/>
      <c r="E30" s="14" t="s">
        <v>80</v>
      </c>
      <c r="F30" s="251"/>
      <c r="G30" s="18">
        <f>140</f>
        <v>140</v>
      </c>
      <c r="H30" s="39">
        <v>1</v>
      </c>
      <c r="I30" s="29"/>
      <c r="J30" s="41"/>
      <c r="K30" s="252"/>
      <c r="M30" s="12"/>
      <c r="N30" s="13"/>
      <c r="O30" s="14" t="s">
        <v>78</v>
      </c>
      <c r="P30" s="13"/>
      <c r="Q30" s="14" t="s">
        <v>80</v>
      </c>
      <c r="R30" s="251"/>
      <c r="S30" s="18">
        <f>140</f>
        <v>140</v>
      </c>
      <c r="T30" s="39">
        <v>2</v>
      </c>
    </row>
    <row r="31" spans="1:22" ht="15.75" x14ac:dyDescent="0.25">
      <c r="A31" s="12"/>
      <c r="B31" s="13"/>
      <c r="C31" s="14" t="s">
        <v>81</v>
      </c>
      <c r="D31" s="13" t="s">
        <v>76</v>
      </c>
      <c r="E31" s="14" t="s">
        <v>77</v>
      </c>
      <c r="F31" s="249" t="s">
        <v>90</v>
      </c>
      <c r="G31" s="15">
        <f>70</f>
        <v>70</v>
      </c>
      <c r="H31" s="38">
        <v>11.5</v>
      </c>
      <c r="I31" s="29"/>
      <c r="J31" s="40"/>
      <c r="K31" s="252"/>
      <c r="M31" s="12"/>
      <c r="N31" s="13"/>
      <c r="O31" s="14" t="s">
        <v>81</v>
      </c>
      <c r="P31" s="13" t="s">
        <v>76</v>
      </c>
      <c r="Q31" s="14" t="s">
        <v>77</v>
      </c>
      <c r="R31" s="249" t="s">
        <v>90</v>
      </c>
      <c r="S31" s="15">
        <f>70</f>
        <v>70</v>
      </c>
      <c r="T31" s="38">
        <v>12.5</v>
      </c>
    </row>
    <row r="32" spans="1:22" ht="15.75" x14ac:dyDescent="0.25">
      <c r="A32" s="12"/>
      <c r="B32" s="13"/>
      <c r="C32" s="14" t="s">
        <v>78</v>
      </c>
      <c r="D32" s="13"/>
      <c r="E32" s="14" t="s">
        <v>79</v>
      </c>
      <c r="F32" s="250"/>
      <c r="G32" s="14">
        <f>100</f>
        <v>100</v>
      </c>
      <c r="H32" s="38">
        <v>5</v>
      </c>
      <c r="I32" s="30"/>
      <c r="J32" s="40"/>
      <c r="K32" s="252"/>
      <c r="M32" s="12"/>
      <c r="N32" s="13"/>
      <c r="O32" s="14" t="s">
        <v>78</v>
      </c>
      <c r="P32" s="13"/>
      <c r="Q32" s="14" t="s">
        <v>79</v>
      </c>
      <c r="R32" s="250"/>
      <c r="S32" s="14">
        <f>100</f>
        <v>100</v>
      </c>
      <c r="T32" s="38">
        <v>6</v>
      </c>
    </row>
    <row r="33" spans="1:20" ht="15.75" x14ac:dyDescent="0.25">
      <c r="A33" s="12"/>
      <c r="B33" s="13"/>
      <c r="C33" s="14" t="s">
        <v>78</v>
      </c>
      <c r="D33" s="13"/>
      <c r="E33" s="14" t="s">
        <v>80</v>
      </c>
      <c r="F33" s="251"/>
      <c r="G33" s="14">
        <f>180</f>
        <v>180</v>
      </c>
      <c r="H33" s="38">
        <v>1</v>
      </c>
      <c r="I33" s="26"/>
      <c r="J33" s="40"/>
      <c r="K33" s="252"/>
      <c r="M33" s="12"/>
      <c r="N33" s="13"/>
      <c r="O33" s="14" t="s">
        <v>78</v>
      </c>
      <c r="P33" s="13"/>
      <c r="Q33" s="14" t="s">
        <v>80</v>
      </c>
      <c r="R33" s="251"/>
      <c r="S33" s="14">
        <f>180</f>
        <v>180</v>
      </c>
      <c r="T33" s="38">
        <v>2</v>
      </c>
    </row>
    <row r="34" spans="1:20" ht="19.5" customHeight="1" x14ac:dyDescent="0.25">
      <c r="A34" s="32"/>
      <c r="B34" s="32"/>
      <c r="C34" s="32"/>
      <c r="D34" s="33" t="s">
        <v>89</v>
      </c>
      <c r="E34" s="32"/>
      <c r="F34" s="32"/>
      <c r="G34" s="39"/>
      <c r="H34" s="39">
        <v>30.5</v>
      </c>
      <c r="J34" s="40"/>
      <c r="M34" s="32"/>
      <c r="N34" s="32"/>
      <c r="O34" s="32"/>
      <c r="P34" s="33" t="s">
        <v>89</v>
      </c>
      <c r="Q34" s="32"/>
      <c r="R34" s="32"/>
      <c r="S34" s="39"/>
      <c r="T34" s="39">
        <v>36.5</v>
      </c>
    </row>
    <row r="37" spans="1:20" ht="20.25" x14ac:dyDescent="0.25">
      <c r="B37" s="244"/>
      <c r="C37" s="244"/>
      <c r="D37" s="244"/>
      <c r="E37" s="244"/>
      <c r="F37" s="244"/>
    </row>
    <row r="38" spans="1:20" ht="20.25" x14ac:dyDescent="0.25">
      <c r="B38" s="244" t="s">
        <v>83</v>
      </c>
      <c r="C38" s="244"/>
      <c r="D38" s="244"/>
      <c r="E38" s="244"/>
      <c r="F38" s="244"/>
      <c r="N38" s="244" t="s">
        <v>96</v>
      </c>
      <c r="O38" s="244"/>
      <c r="P38" s="244"/>
      <c r="Q38" s="244"/>
      <c r="R38" s="244"/>
      <c r="S38" s="244"/>
      <c r="T38" s="244"/>
    </row>
    <row r="39" spans="1:20" ht="19.5" customHeight="1" x14ac:dyDescent="0.25">
      <c r="G39" s="47" t="s">
        <v>93</v>
      </c>
      <c r="H39" s="47" t="s">
        <v>94</v>
      </c>
      <c r="K39" s="41"/>
      <c r="S39" s="47" t="s">
        <v>93</v>
      </c>
      <c r="T39" s="47" t="s">
        <v>94</v>
      </c>
    </row>
    <row r="40" spans="1:20" ht="15.75" x14ac:dyDescent="0.25">
      <c r="A40" s="12" t="s">
        <v>73</v>
      </c>
      <c r="B40" s="13" t="s">
        <v>74</v>
      </c>
      <c r="C40" s="14" t="s">
        <v>75</v>
      </c>
      <c r="D40" s="13" t="s">
        <v>76</v>
      </c>
      <c r="E40" s="14" t="s">
        <v>77</v>
      </c>
      <c r="F40" s="246" t="s">
        <v>90</v>
      </c>
      <c r="G40" s="43">
        <f>30</f>
        <v>30</v>
      </c>
      <c r="H40" s="42">
        <v>4.9000000000000004</v>
      </c>
      <c r="I40" s="29"/>
      <c r="M40" s="12" t="s">
        <v>73</v>
      </c>
      <c r="N40" s="13" t="s">
        <v>74</v>
      </c>
      <c r="O40" s="14" t="s">
        <v>75</v>
      </c>
      <c r="P40" s="13" t="s">
        <v>76</v>
      </c>
      <c r="Q40" s="14" t="s">
        <v>77</v>
      </c>
      <c r="R40" s="246" t="s">
        <v>90</v>
      </c>
      <c r="S40" s="43">
        <f>30</f>
        <v>30</v>
      </c>
      <c r="T40" s="42">
        <v>5.9</v>
      </c>
    </row>
    <row r="41" spans="1:20" ht="15.75" x14ac:dyDescent="0.25">
      <c r="A41" s="12"/>
      <c r="B41" s="13"/>
      <c r="C41" s="14" t="s">
        <v>78</v>
      </c>
      <c r="D41" s="13"/>
      <c r="E41" s="14" t="s">
        <v>79</v>
      </c>
      <c r="F41" s="247"/>
      <c r="G41" s="44">
        <f>80</f>
        <v>80</v>
      </c>
      <c r="H41" s="16">
        <v>4</v>
      </c>
      <c r="I41" s="29"/>
      <c r="M41" s="12"/>
      <c r="N41" s="13"/>
      <c r="O41" s="14" t="s">
        <v>78</v>
      </c>
      <c r="P41" s="13"/>
      <c r="Q41" s="14" t="s">
        <v>79</v>
      </c>
      <c r="R41" s="247"/>
      <c r="S41" s="44">
        <f>80</f>
        <v>80</v>
      </c>
      <c r="T41" s="16">
        <v>5</v>
      </c>
    </row>
    <row r="42" spans="1:20" ht="15.75" x14ac:dyDescent="0.25">
      <c r="A42" s="12"/>
      <c r="B42" s="13"/>
      <c r="C42" s="14" t="s">
        <v>78</v>
      </c>
      <c r="D42" s="13"/>
      <c r="E42" s="14" t="s">
        <v>80</v>
      </c>
      <c r="F42" s="248"/>
      <c r="G42" s="44">
        <f>140</f>
        <v>140</v>
      </c>
      <c r="H42" s="16">
        <v>1</v>
      </c>
      <c r="I42" s="29"/>
      <c r="M42" s="12"/>
      <c r="N42" s="13"/>
      <c r="O42" s="14" t="s">
        <v>78</v>
      </c>
      <c r="P42" s="13"/>
      <c r="Q42" s="14" t="s">
        <v>80</v>
      </c>
      <c r="R42" s="248"/>
      <c r="S42" s="44">
        <f>140</f>
        <v>140</v>
      </c>
      <c r="T42" s="16">
        <v>2</v>
      </c>
    </row>
    <row r="43" spans="1:20" ht="15.75" x14ac:dyDescent="0.25">
      <c r="A43" s="12"/>
      <c r="B43" s="13"/>
      <c r="C43" s="14" t="s">
        <v>81</v>
      </c>
      <c r="D43" s="13" t="s">
        <v>76</v>
      </c>
      <c r="E43" s="14" t="s">
        <v>77</v>
      </c>
      <c r="F43" s="246" t="s">
        <v>90</v>
      </c>
      <c r="G43" s="43">
        <f>60</f>
        <v>60</v>
      </c>
      <c r="H43" s="42">
        <v>9.8000000000000007</v>
      </c>
      <c r="I43" s="29"/>
      <c r="M43" s="12"/>
      <c r="N43" s="13"/>
      <c r="O43" s="14" t="s">
        <v>81</v>
      </c>
      <c r="P43" s="13" t="s">
        <v>76</v>
      </c>
      <c r="Q43" s="14" t="s">
        <v>77</v>
      </c>
      <c r="R43" s="246" t="s">
        <v>90</v>
      </c>
      <c r="S43" s="43">
        <f>60</f>
        <v>60</v>
      </c>
      <c r="T43" s="42">
        <v>10.8</v>
      </c>
    </row>
    <row r="44" spans="1:20" ht="15.75" x14ac:dyDescent="0.25">
      <c r="A44" s="12"/>
      <c r="B44" s="13"/>
      <c r="C44" s="14" t="s">
        <v>78</v>
      </c>
      <c r="D44" s="13"/>
      <c r="E44" s="14" t="s">
        <v>79</v>
      </c>
      <c r="F44" s="247"/>
      <c r="G44" s="45">
        <f>130</f>
        <v>130</v>
      </c>
      <c r="H44" s="42">
        <v>6.8</v>
      </c>
      <c r="I44" s="30"/>
      <c r="M44" s="12"/>
      <c r="N44" s="13"/>
      <c r="O44" s="14" t="s">
        <v>78</v>
      </c>
      <c r="P44" s="13"/>
      <c r="Q44" s="14" t="s">
        <v>79</v>
      </c>
      <c r="R44" s="247"/>
      <c r="S44" s="45">
        <f>130</f>
        <v>130</v>
      </c>
      <c r="T44" s="42">
        <v>7.8</v>
      </c>
    </row>
    <row r="45" spans="1:20" ht="15.75" x14ac:dyDescent="0.25">
      <c r="A45" s="12"/>
      <c r="B45" s="13"/>
      <c r="C45" s="14" t="s">
        <v>78</v>
      </c>
      <c r="D45" s="13"/>
      <c r="E45" s="14" t="s">
        <v>80</v>
      </c>
      <c r="F45" s="248"/>
      <c r="G45" s="45">
        <f>140</f>
        <v>140</v>
      </c>
      <c r="H45" s="16">
        <v>1</v>
      </c>
      <c r="I45" s="26"/>
      <c r="M45" s="12"/>
      <c r="N45" s="13"/>
      <c r="O45" s="14" t="s">
        <v>78</v>
      </c>
      <c r="P45" s="13"/>
      <c r="Q45" s="14" t="s">
        <v>80</v>
      </c>
      <c r="R45" s="248"/>
      <c r="S45" s="45">
        <f>140</f>
        <v>140</v>
      </c>
      <c r="T45" s="16">
        <v>2</v>
      </c>
    </row>
    <row r="46" spans="1:20" ht="15.75" x14ac:dyDescent="0.25">
      <c r="A46" s="46"/>
      <c r="B46" s="13"/>
      <c r="C46" s="14"/>
      <c r="D46" s="13" t="s">
        <v>89</v>
      </c>
      <c r="E46" s="14"/>
      <c r="F46" s="14"/>
      <c r="G46" s="14"/>
      <c r="H46" s="42">
        <v>27.5</v>
      </c>
      <c r="I46" s="26"/>
      <c r="M46" s="46"/>
      <c r="N46" s="13"/>
      <c r="O46" s="14"/>
      <c r="P46" s="13" t="s">
        <v>89</v>
      </c>
      <c r="Q46" s="14"/>
      <c r="R46" s="14"/>
      <c r="S46" s="14"/>
      <c r="T46" s="42">
        <v>33.5</v>
      </c>
    </row>
    <row r="49" spans="1:8" ht="21" customHeight="1" x14ac:dyDescent="0.25">
      <c r="A49" s="239" t="s">
        <v>95</v>
      </c>
      <c r="B49" s="239"/>
      <c r="C49" s="239"/>
      <c r="D49" s="239"/>
      <c r="E49" s="239"/>
      <c r="F49" s="239"/>
      <c r="G49" s="239"/>
      <c r="H49" s="239"/>
    </row>
  </sheetData>
  <mergeCells count="24">
    <mergeCell ref="F43:F45"/>
    <mergeCell ref="N26:T26"/>
    <mergeCell ref="R28:R30"/>
    <mergeCell ref="R31:R33"/>
    <mergeCell ref="K28:K30"/>
    <mergeCell ref="K31:K33"/>
    <mergeCell ref="F28:F30"/>
    <mergeCell ref="F31:F33"/>
    <mergeCell ref="A49:H49"/>
    <mergeCell ref="B26:H26"/>
    <mergeCell ref="N3:R3"/>
    <mergeCell ref="M1:V1"/>
    <mergeCell ref="K5:K7"/>
    <mergeCell ref="K8:K10"/>
    <mergeCell ref="B3:F3"/>
    <mergeCell ref="B14:F14"/>
    <mergeCell ref="B24:G24"/>
    <mergeCell ref="B37:F37"/>
    <mergeCell ref="M24:V24"/>
    <mergeCell ref="R40:R42"/>
    <mergeCell ref="R43:R45"/>
    <mergeCell ref="N38:T38"/>
    <mergeCell ref="B38:F38"/>
    <mergeCell ref="F40:F42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27"/>
  <sheetViews>
    <sheetView zoomScaleNormal="100" workbookViewId="0">
      <selection activeCell="H6" sqref="H6"/>
    </sheetView>
  </sheetViews>
  <sheetFormatPr defaultRowHeight="15" x14ac:dyDescent="0.25"/>
  <cols>
    <col min="2" max="2" width="12.42578125" bestFit="1" customWidth="1"/>
    <col min="4" max="4" width="17.85546875" bestFit="1" customWidth="1"/>
    <col min="14" max="14" width="12.42578125" bestFit="1" customWidth="1"/>
    <col min="16" max="16" width="17.85546875" bestFit="1" customWidth="1"/>
  </cols>
  <sheetData>
    <row r="2" spans="1:22" ht="27" x14ac:dyDescent="0.35">
      <c r="B2" s="242"/>
      <c r="C2" s="245"/>
      <c r="D2" s="245"/>
      <c r="E2" s="245"/>
      <c r="F2" s="245"/>
      <c r="G2" s="245"/>
      <c r="M2" s="242" t="s">
        <v>84</v>
      </c>
      <c r="N2" s="242"/>
      <c r="O2" s="242"/>
      <c r="P2" s="242"/>
      <c r="Q2" s="242"/>
      <c r="R2" s="242"/>
      <c r="S2" s="242"/>
      <c r="T2" s="242"/>
      <c r="U2" s="242"/>
      <c r="V2" s="242"/>
    </row>
    <row r="3" spans="1:22" ht="27" x14ac:dyDescent="0.35">
      <c r="B3" s="27"/>
      <c r="C3" s="21"/>
      <c r="D3" s="21"/>
      <c r="E3" s="21"/>
      <c r="F3" s="21"/>
      <c r="G3" s="21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23.25" x14ac:dyDescent="0.25">
      <c r="B4" s="240" t="s">
        <v>82</v>
      </c>
      <c r="C4" s="240"/>
      <c r="D4" s="240"/>
      <c r="E4" s="240"/>
      <c r="F4" s="240"/>
      <c r="G4" s="240"/>
      <c r="H4" s="240"/>
      <c r="N4" s="240" t="s">
        <v>82</v>
      </c>
      <c r="O4" s="240"/>
      <c r="P4" s="240"/>
      <c r="Q4" s="240"/>
      <c r="R4" s="240"/>
      <c r="S4" s="240"/>
      <c r="T4" s="240"/>
    </row>
    <row r="5" spans="1:22" x14ac:dyDescent="0.25">
      <c r="G5" s="41" t="s">
        <v>91</v>
      </c>
      <c r="H5" s="41" t="s">
        <v>92</v>
      </c>
      <c r="J5" s="31"/>
      <c r="K5" s="21"/>
      <c r="S5" s="41" t="s">
        <v>91</v>
      </c>
      <c r="T5" s="41" t="s">
        <v>92</v>
      </c>
    </row>
    <row r="6" spans="1:22" ht="15.75" x14ac:dyDescent="0.25">
      <c r="A6" s="12" t="s">
        <v>73</v>
      </c>
      <c r="B6" s="13" t="s">
        <v>74</v>
      </c>
      <c r="C6" s="14" t="s">
        <v>75</v>
      </c>
      <c r="D6" s="13" t="s">
        <v>76</v>
      </c>
      <c r="E6" s="14" t="s">
        <v>77</v>
      </c>
      <c r="F6" s="249" t="s">
        <v>90</v>
      </c>
      <c r="G6" s="15">
        <f>50</f>
        <v>50</v>
      </c>
      <c r="H6" s="49">
        <v>8</v>
      </c>
      <c r="I6" s="29"/>
      <c r="J6" s="40"/>
      <c r="K6" s="252"/>
      <c r="M6" s="12" t="s">
        <v>73</v>
      </c>
      <c r="N6" s="13" t="s">
        <v>74</v>
      </c>
      <c r="O6" s="14" t="s">
        <v>75</v>
      </c>
      <c r="P6" s="13" t="s">
        <v>76</v>
      </c>
      <c r="Q6" s="14" t="s">
        <v>77</v>
      </c>
      <c r="R6" s="249" t="s">
        <v>90</v>
      </c>
      <c r="S6" s="15">
        <f>50</f>
        <v>50</v>
      </c>
      <c r="T6" s="49">
        <v>9</v>
      </c>
    </row>
    <row r="7" spans="1:22" ht="15.75" x14ac:dyDescent="0.25">
      <c r="A7" s="12"/>
      <c r="B7" s="13"/>
      <c r="C7" s="14" t="s">
        <v>78</v>
      </c>
      <c r="D7" s="13"/>
      <c r="E7" s="14" t="s">
        <v>79</v>
      </c>
      <c r="F7" s="250"/>
      <c r="G7" s="18">
        <f>80</f>
        <v>80</v>
      </c>
      <c r="H7" s="49">
        <v>4</v>
      </c>
      <c r="I7" s="29"/>
      <c r="J7" s="40"/>
      <c r="K7" s="252"/>
      <c r="M7" s="12"/>
      <c r="N7" s="13"/>
      <c r="O7" s="14" t="s">
        <v>78</v>
      </c>
      <c r="P7" s="13"/>
      <c r="Q7" s="14" t="s">
        <v>79</v>
      </c>
      <c r="R7" s="250"/>
      <c r="S7" s="18">
        <f>80</f>
        <v>80</v>
      </c>
      <c r="T7" s="49">
        <v>5</v>
      </c>
    </row>
    <row r="8" spans="1:22" ht="15.75" x14ac:dyDescent="0.25">
      <c r="A8" s="12"/>
      <c r="B8" s="13"/>
      <c r="C8" s="14" t="s">
        <v>78</v>
      </c>
      <c r="D8" s="13"/>
      <c r="E8" s="14" t="s">
        <v>80</v>
      </c>
      <c r="F8" s="251"/>
      <c r="G8" s="18">
        <f>140</f>
        <v>140</v>
      </c>
      <c r="H8" s="48">
        <v>1</v>
      </c>
      <c r="I8" s="29"/>
      <c r="J8" s="41"/>
      <c r="K8" s="252"/>
      <c r="M8" s="12"/>
      <c r="N8" s="13"/>
      <c r="O8" s="14" t="s">
        <v>78</v>
      </c>
      <c r="P8" s="13"/>
      <c r="Q8" s="14" t="s">
        <v>80</v>
      </c>
      <c r="R8" s="251"/>
      <c r="S8" s="18">
        <f>140</f>
        <v>140</v>
      </c>
      <c r="T8" s="48">
        <v>2</v>
      </c>
    </row>
    <row r="9" spans="1:22" ht="15.75" x14ac:dyDescent="0.25">
      <c r="A9" s="12"/>
      <c r="B9" s="13"/>
      <c r="C9" s="14" t="s">
        <v>81</v>
      </c>
      <c r="D9" s="13" t="s">
        <v>76</v>
      </c>
      <c r="E9" s="14" t="s">
        <v>77</v>
      </c>
      <c r="F9" s="249" t="s">
        <v>90</v>
      </c>
      <c r="G9" s="15">
        <f>70</f>
        <v>70</v>
      </c>
      <c r="H9" s="49">
        <v>11.5</v>
      </c>
      <c r="I9" s="29"/>
      <c r="J9" s="40"/>
      <c r="K9" s="252"/>
      <c r="M9" s="12"/>
      <c r="N9" s="13"/>
      <c r="O9" s="14" t="s">
        <v>81</v>
      </c>
      <c r="P9" s="13" t="s">
        <v>76</v>
      </c>
      <c r="Q9" s="14" t="s">
        <v>77</v>
      </c>
      <c r="R9" s="249" t="s">
        <v>90</v>
      </c>
      <c r="S9" s="15">
        <f>70</f>
        <v>70</v>
      </c>
      <c r="T9" s="49">
        <v>12.5</v>
      </c>
    </row>
    <row r="10" spans="1:22" ht="15.75" x14ac:dyDescent="0.25">
      <c r="A10" s="12"/>
      <c r="B10" s="13"/>
      <c r="C10" s="14" t="s">
        <v>78</v>
      </c>
      <c r="D10" s="13"/>
      <c r="E10" s="14" t="s">
        <v>79</v>
      </c>
      <c r="F10" s="250"/>
      <c r="G10" s="14">
        <f>100</f>
        <v>100</v>
      </c>
      <c r="H10" s="49">
        <v>5</v>
      </c>
      <c r="I10" s="30"/>
      <c r="J10" s="40"/>
      <c r="K10" s="252"/>
      <c r="M10" s="12"/>
      <c r="N10" s="13"/>
      <c r="O10" s="14" t="s">
        <v>78</v>
      </c>
      <c r="P10" s="13"/>
      <c r="Q10" s="14" t="s">
        <v>79</v>
      </c>
      <c r="R10" s="250"/>
      <c r="S10" s="14">
        <f>100</f>
        <v>100</v>
      </c>
      <c r="T10" s="49">
        <v>6</v>
      </c>
    </row>
    <row r="11" spans="1:22" ht="15.75" x14ac:dyDescent="0.25">
      <c r="A11" s="12"/>
      <c r="B11" s="13"/>
      <c r="C11" s="14" t="s">
        <v>78</v>
      </c>
      <c r="D11" s="13"/>
      <c r="E11" s="14" t="s">
        <v>80</v>
      </c>
      <c r="F11" s="251"/>
      <c r="G11" s="14">
        <f>180</f>
        <v>180</v>
      </c>
      <c r="H11" s="49">
        <v>1</v>
      </c>
      <c r="I11" s="26"/>
      <c r="J11" s="40"/>
      <c r="K11" s="252"/>
      <c r="M11" s="12"/>
      <c r="N11" s="13"/>
      <c r="O11" s="14" t="s">
        <v>78</v>
      </c>
      <c r="P11" s="13"/>
      <c r="Q11" s="14" t="s">
        <v>80</v>
      </c>
      <c r="R11" s="251"/>
      <c r="S11" s="14">
        <f>180</f>
        <v>180</v>
      </c>
      <c r="T11" s="49">
        <v>2</v>
      </c>
    </row>
    <row r="12" spans="1:22" x14ac:dyDescent="0.25">
      <c r="A12" s="32"/>
      <c r="B12" s="32"/>
      <c r="C12" s="32"/>
      <c r="D12" s="33" t="s">
        <v>89</v>
      </c>
      <c r="E12" s="32"/>
      <c r="F12" s="32"/>
      <c r="G12" s="39"/>
      <c r="H12" s="48">
        <v>30.5</v>
      </c>
      <c r="J12" s="40"/>
      <c r="M12" s="32"/>
      <c r="N12" s="32"/>
      <c r="O12" s="32"/>
      <c r="P12" s="33" t="s">
        <v>89</v>
      </c>
      <c r="Q12" s="32"/>
      <c r="R12" s="32"/>
      <c r="S12" s="39"/>
      <c r="T12" s="48">
        <v>36.5</v>
      </c>
    </row>
    <row r="15" spans="1:22" ht="20.25" x14ac:dyDescent="0.25">
      <c r="B15" s="244"/>
      <c r="C15" s="244"/>
      <c r="D15" s="244"/>
      <c r="E15" s="244"/>
      <c r="F15" s="244"/>
    </row>
    <row r="16" spans="1:22" ht="20.25" x14ac:dyDescent="0.25">
      <c r="B16" s="244" t="s">
        <v>83</v>
      </c>
      <c r="C16" s="244"/>
      <c r="D16" s="244"/>
      <c r="E16" s="244"/>
      <c r="F16" s="244"/>
      <c r="N16" s="244" t="s">
        <v>96</v>
      </c>
      <c r="O16" s="244"/>
      <c r="P16" s="244"/>
      <c r="Q16" s="244"/>
      <c r="R16" s="244"/>
      <c r="S16" s="244"/>
      <c r="T16" s="244"/>
    </row>
    <row r="17" spans="1:20" x14ac:dyDescent="0.25">
      <c r="G17" s="47" t="s">
        <v>93</v>
      </c>
      <c r="H17" s="47" t="s">
        <v>94</v>
      </c>
      <c r="K17" s="41"/>
      <c r="S17" s="47" t="s">
        <v>93</v>
      </c>
      <c r="T17" s="47" t="s">
        <v>94</v>
      </c>
    </row>
    <row r="18" spans="1:20" ht="15.75" x14ac:dyDescent="0.25">
      <c r="A18" s="12" t="s">
        <v>73</v>
      </c>
      <c r="B18" s="13" t="s">
        <v>74</v>
      </c>
      <c r="C18" s="14" t="s">
        <v>75</v>
      </c>
      <c r="D18" s="13" t="s">
        <v>76</v>
      </c>
      <c r="E18" s="14" t="s">
        <v>77</v>
      </c>
      <c r="F18" s="246" t="s">
        <v>90</v>
      </c>
      <c r="G18" s="43">
        <f>30</f>
        <v>30</v>
      </c>
      <c r="H18" s="42">
        <v>4.9000000000000004</v>
      </c>
      <c r="I18" s="29"/>
      <c r="M18" s="12" t="s">
        <v>73</v>
      </c>
      <c r="N18" s="13" t="s">
        <v>74</v>
      </c>
      <c r="O18" s="14" t="s">
        <v>75</v>
      </c>
      <c r="P18" s="13" t="s">
        <v>76</v>
      </c>
      <c r="Q18" s="14" t="s">
        <v>77</v>
      </c>
      <c r="R18" s="246" t="s">
        <v>90</v>
      </c>
      <c r="S18" s="43">
        <f>30</f>
        <v>30</v>
      </c>
      <c r="T18" s="42">
        <v>5.9</v>
      </c>
    </row>
    <row r="19" spans="1:20" ht="15.75" x14ac:dyDescent="0.25">
      <c r="A19" s="12"/>
      <c r="B19" s="13"/>
      <c r="C19" s="14" t="s">
        <v>78</v>
      </c>
      <c r="D19" s="13"/>
      <c r="E19" s="14" t="s">
        <v>79</v>
      </c>
      <c r="F19" s="247"/>
      <c r="G19" s="44">
        <f>80</f>
        <v>80</v>
      </c>
      <c r="H19" s="16">
        <v>4</v>
      </c>
      <c r="I19" s="29"/>
      <c r="M19" s="12"/>
      <c r="N19" s="13"/>
      <c r="O19" s="14" t="s">
        <v>78</v>
      </c>
      <c r="P19" s="13"/>
      <c r="Q19" s="14" t="s">
        <v>79</v>
      </c>
      <c r="R19" s="247"/>
      <c r="S19" s="44">
        <f>80</f>
        <v>80</v>
      </c>
      <c r="T19" s="16">
        <v>5</v>
      </c>
    </row>
    <row r="20" spans="1:20" ht="15.75" x14ac:dyDescent="0.25">
      <c r="A20" s="12"/>
      <c r="B20" s="13"/>
      <c r="C20" s="14" t="s">
        <v>78</v>
      </c>
      <c r="D20" s="13"/>
      <c r="E20" s="14" t="s">
        <v>80</v>
      </c>
      <c r="F20" s="248"/>
      <c r="G20" s="44">
        <f>140</f>
        <v>140</v>
      </c>
      <c r="H20" s="16">
        <v>1</v>
      </c>
      <c r="I20" s="29"/>
      <c r="M20" s="12"/>
      <c r="N20" s="13"/>
      <c r="O20" s="14" t="s">
        <v>78</v>
      </c>
      <c r="P20" s="13"/>
      <c r="Q20" s="14" t="s">
        <v>80</v>
      </c>
      <c r="R20" s="248"/>
      <c r="S20" s="44">
        <f>140</f>
        <v>140</v>
      </c>
      <c r="T20" s="16">
        <v>2</v>
      </c>
    </row>
    <row r="21" spans="1:20" ht="15.75" x14ac:dyDescent="0.25">
      <c r="A21" s="12"/>
      <c r="B21" s="13"/>
      <c r="C21" s="14" t="s">
        <v>81</v>
      </c>
      <c r="D21" s="13" t="s">
        <v>76</v>
      </c>
      <c r="E21" s="14" t="s">
        <v>77</v>
      </c>
      <c r="F21" s="246" t="s">
        <v>90</v>
      </c>
      <c r="G21" s="43">
        <f>60</f>
        <v>60</v>
      </c>
      <c r="H21" s="42">
        <v>9.8000000000000007</v>
      </c>
      <c r="I21" s="29"/>
      <c r="M21" s="12"/>
      <c r="N21" s="13"/>
      <c r="O21" s="14" t="s">
        <v>81</v>
      </c>
      <c r="P21" s="13" t="s">
        <v>76</v>
      </c>
      <c r="Q21" s="14" t="s">
        <v>77</v>
      </c>
      <c r="R21" s="246" t="s">
        <v>90</v>
      </c>
      <c r="S21" s="43">
        <f>60</f>
        <v>60</v>
      </c>
      <c r="T21" s="42">
        <v>10.8</v>
      </c>
    </row>
    <row r="22" spans="1:20" ht="15.75" x14ac:dyDescent="0.25">
      <c r="A22" s="12"/>
      <c r="B22" s="13"/>
      <c r="C22" s="14" t="s">
        <v>78</v>
      </c>
      <c r="D22" s="13"/>
      <c r="E22" s="14" t="s">
        <v>79</v>
      </c>
      <c r="F22" s="247"/>
      <c r="G22" s="45">
        <f>130</f>
        <v>130</v>
      </c>
      <c r="H22" s="42">
        <v>6.8</v>
      </c>
      <c r="I22" s="30"/>
      <c r="M22" s="12"/>
      <c r="N22" s="13"/>
      <c r="O22" s="14" t="s">
        <v>78</v>
      </c>
      <c r="P22" s="13"/>
      <c r="Q22" s="14" t="s">
        <v>79</v>
      </c>
      <c r="R22" s="247"/>
      <c r="S22" s="45">
        <f>130</f>
        <v>130</v>
      </c>
      <c r="T22" s="42">
        <v>7.8</v>
      </c>
    </row>
    <row r="23" spans="1:20" ht="15.75" x14ac:dyDescent="0.25">
      <c r="A23" s="12"/>
      <c r="B23" s="13"/>
      <c r="C23" s="14" t="s">
        <v>78</v>
      </c>
      <c r="D23" s="13"/>
      <c r="E23" s="14" t="s">
        <v>80</v>
      </c>
      <c r="F23" s="248"/>
      <c r="G23" s="45">
        <f>140</f>
        <v>140</v>
      </c>
      <c r="H23" s="16">
        <v>1</v>
      </c>
      <c r="I23" s="26"/>
      <c r="M23" s="12"/>
      <c r="N23" s="13"/>
      <c r="O23" s="14" t="s">
        <v>78</v>
      </c>
      <c r="P23" s="13"/>
      <c r="Q23" s="14" t="s">
        <v>80</v>
      </c>
      <c r="R23" s="248"/>
      <c r="S23" s="45">
        <f>140</f>
        <v>140</v>
      </c>
      <c r="T23" s="16">
        <v>2</v>
      </c>
    </row>
    <row r="24" spans="1:20" ht="15.75" x14ac:dyDescent="0.25">
      <c r="A24" s="46"/>
      <c r="B24" s="13"/>
      <c r="C24" s="14"/>
      <c r="D24" s="13" t="s">
        <v>89</v>
      </c>
      <c r="E24" s="14"/>
      <c r="F24" s="14"/>
      <c r="G24" s="14"/>
      <c r="H24" s="42">
        <v>27.5</v>
      </c>
      <c r="I24" s="26"/>
      <c r="M24" s="46"/>
      <c r="N24" s="13"/>
      <c r="O24" s="14"/>
      <c r="P24" s="13" t="s">
        <v>89</v>
      </c>
      <c r="Q24" s="14"/>
      <c r="R24" s="14"/>
      <c r="S24" s="14"/>
      <c r="T24" s="42">
        <v>33.5</v>
      </c>
    </row>
    <row r="27" spans="1:20" ht="22.5" customHeight="1" x14ac:dyDescent="0.25">
      <c r="A27" s="253" t="s">
        <v>97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</row>
  </sheetData>
  <mergeCells count="18">
    <mergeCell ref="F18:F20"/>
    <mergeCell ref="R18:R20"/>
    <mergeCell ref="F21:F23"/>
    <mergeCell ref="R21:R23"/>
    <mergeCell ref="A27:L27"/>
    <mergeCell ref="F9:F11"/>
    <mergeCell ref="K9:K11"/>
    <mergeCell ref="R9:R11"/>
    <mergeCell ref="B15:F15"/>
    <mergeCell ref="B16:F16"/>
    <mergeCell ref="N16:T16"/>
    <mergeCell ref="B2:G2"/>
    <mergeCell ref="M2:V2"/>
    <mergeCell ref="B4:H4"/>
    <mergeCell ref="N4:T4"/>
    <mergeCell ref="F6:F8"/>
    <mergeCell ref="K6:K8"/>
    <mergeCell ref="R6:R8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41"/>
  <sheetViews>
    <sheetView zoomScaleNormal="100" workbookViewId="0">
      <selection activeCell="Q21" sqref="Q21:Q26"/>
    </sheetView>
  </sheetViews>
  <sheetFormatPr defaultRowHeight="15" x14ac:dyDescent="0.25"/>
  <cols>
    <col min="1" max="1" width="2.7109375" customWidth="1"/>
    <col min="2" max="2" width="18" customWidth="1"/>
    <col min="3" max="3" width="6.42578125" customWidth="1"/>
    <col min="4" max="4" width="26" customWidth="1"/>
    <col min="5" max="5" width="14.7109375" customWidth="1"/>
    <col min="6" max="6" width="12.7109375" customWidth="1"/>
    <col min="7" max="7" width="10.5703125" customWidth="1"/>
    <col min="8" max="8" width="11" customWidth="1"/>
    <col min="11" max="11" width="3.85546875" customWidth="1"/>
    <col min="12" max="12" width="17.28515625" customWidth="1"/>
    <col min="13" max="13" width="7.85546875" customWidth="1"/>
    <col min="14" max="14" width="26.140625" customWidth="1"/>
    <col min="15" max="15" width="11.85546875" customWidth="1"/>
    <col min="16" max="16" width="12.5703125" customWidth="1"/>
    <col min="17" max="18" width="10.5703125" customWidth="1"/>
    <col min="21" max="21" width="6.28515625" customWidth="1"/>
    <col min="22" max="22" width="4.42578125" customWidth="1"/>
    <col min="23" max="23" width="15.5703125" customWidth="1"/>
    <col min="24" max="24" width="6" customWidth="1"/>
    <col min="25" max="25" width="21.42578125" customWidth="1"/>
    <col min="26" max="26" width="13.42578125" customWidth="1"/>
    <col min="27" max="28" width="9.42578125" customWidth="1"/>
    <col min="29" max="29" width="9.7109375" customWidth="1"/>
    <col min="30" max="30" width="10.28515625" customWidth="1"/>
  </cols>
  <sheetData>
    <row r="1" spans="1:31" ht="20.25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31" ht="22.5" customHeight="1" x14ac:dyDescent="0.3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55" t="s">
        <v>84</v>
      </c>
      <c r="W2" s="245"/>
      <c r="X2" s="245"/>
      <c r="Y2" s="245"/>
      <c r="Z2" s="245"/>
      <c r="AA2" s="245"/>
      <c r="AB2" s="245"/>
      <c r="AC2" s="245"/>
      <c r="AD2" s="245"/>
    </row>
    <row r="3" spans="1:31" ht="20.25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31" ht="25.5" x14ac:dyDescent="0.35">
      <c r="A4" s="50"/>
      <c r="B4" s="50"/>
      <c r="C4" s="50"/>
      <c r="D4" s="50"/>
      <c r="E4" s="50"/>
      <c r="F4" s="50"/>
      <c r="G4" s="50"/>
      <c r="H4" s="50"/>
      <c r="I4" s="50"/>
      <c r="J4" s="50"/>
      <c r="K4" s="257" t="s">
        <v>107</v>
      </c>
      <c r="L4" s="257"/>
      <c r="M4" s="257"/>
      <c r="N4" s="257"/>
      <c r="O4" s="257"/>
      <c r="P4" s="257"/>
      <c r="Q4" s="257"/>
      <c r="R4" s="257"/>
      <c r="S4" s="50"/>
      <c r="T4" s="50"/>
      <c r="U4" s="50"/>
    </row>
    <row r="5" spans="1:31" ht="20.25" x14ac:dyDescent="0.3">
      <c r="A5" s="50"/>
      <c r="B5" s="60"/>
      <c r="C5" s="61"/>
      <c r="D5" s="61"/>
      <c r="E5" s="61"/>
      <c r="F5" s="61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75"/>
      <c r="W5" s="75"/>
      <c r="X5" s="75"/>
      <c r="Y5" s="75"/>
      <c r="Z5" s="75"/>
      <c r="AA5" s="75"/>
      <c r="AB5" s="75"/>
      <c r="AC5" s="75"/>
      <c r="AD5" s="75"/>
      <c r="AE5" s="75"/>
    </row>
    <row r="6" spans="1:31" ht="22.5" x14ac:dyDescent="0.3">
      <c r="A6" s="50"/>
      <c r="B6" s="256" t="s">
        <v>98</v>
      </c>
      <c r="C6" s="256"/>
      <c r="D6" s="256"/>
      <c r="E6" s="256"/>
      <c r="F6" s="256"/>
      <c r="G6" s="256"/>
      <c r="H6" s="50"/>
      <c r="I6" s="50"/>
      <c r="J6" s="50"/>
      <c r="K6" s="255" t="s">
        <v>98</v>
      </c>
      <c r="L6" s="255"/>
      <c r="M6" s="255"/>
      <c r="N6" s="255"/>
      <c r="O6" s="255"/>
      <c r="P6" s="255"/>
      <c r="Q6" s="255"/>
      <c r="R6" s="255"/>
      <c r="S6" s="50"/>
      <c r="T6" s="50"/>
      <c r="U6" s="50"/>
      <c r="V6" s="63"/>
      <c r="W6" s="258" t="s">
        <v>98</v>
      </c>
      <c r="X6" s="258"/>
      <c r="Y6" s="258"/>
      <c r="Z6" s="258"/>
      <c r="AA6" s="258"/>
      <c r="AB6" s="258"/>
      <c r="AC6" s="258"/>
      <c r="AD6" s="63"/>
      <c r="AE6" s="63"/>
    </row>
    <row r="7" spans="1:31" ht="20.25" x14ac:dyDescent="0.3">
      <c r="A7" s="50"/>
      <c r="B7" s="28"/>
      <c r="C7" s="28"/>
      <c r="D7" s="28"/>
      <c r="E7" s="28"/>
      <c r="F7" s="28"/>
      <c r="G7" s="28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63"/>
      <c r="W7" s="64"/>
      <c r="X7" s="64"/>
      <c r="Y7" s="64"/>
      <c r="Z7" s="64"/>
      <c r="AA7" s="64"/>
      <c r="AB7" s="64"/>
      <c r="AC7" s="64"/>
      <c r="AD7" s="63"/>
      <c r="AE7" s="63"/>
    </row>
    <row r="8" spans="1:31" ht="20.25" x14ac:dyDescent="0.3">
      <c r="A8" s="51"/>
      <c r="B8" s="51"/>
      <c r="C8" s="51"/>
      <c r="D8" s="52" t="s">
        <v>101</v>
      </c>
      <c r="E8" s="52" t="s">
        <v>99</v>
      </c>
      <c r="F8" s="52" t="s">
        <v>106</v>
      </c>
      <c r="G8" s="52" t="s">
        <v>102</v>
      </c>
      <c r="H8" s="53" t="s">
        <v>103</v>
      </c>
      <c r="I8" s="28"/>
      <c r="J8" s="28"/>
      <c r="K8" s="51"/>
      <c r="L8" s="51"/>
      <c r="M8" s="51"/>
      <c r="N8" s="52" t="s">
        <v>101</v>
      </c>
      <c r="O8" s="52" t="s">
        <v>99</v>
      </c>
      <c r="P8" s="52" t="s">
        <v>106</v>
      </c>
      <c r="Q8" s="53" t="s">
        <v>102</v>
      </c>
      <c r="R8" s="53" t="s">
        <v>103</v>
      </c>
      <c r="S8" s="28"/>
      <c r="T8" s="28"/>
      <c r="U8" s="50"/>
      <c r="V8" s="77"/>
      <c r="W8" s="77"/>
      <c r="X8" s="77"/>
      <c r="Y8" s="78" t="s">
        <v>101</v>
      </c>
      <c r="Z8" s="78" t="s">
        <v>99</v>
      </c>
      <c r="AA8" s="78" t="s">
        <v>100</v>
      </c>
      <c r="AB8" s="78" t="s">
        <v>93</v>
      </c>
      <c r="AC8" s="78" t="s">
        <v>102</v>
      </c>
      <c r="AD8" s="81" t="s">
        <v>103</v>
      </c>
      <c r="AE8" s="63"/>
    </row>
    <row r="9" spans="1:31" ht="20.25" x14ac:dyDescent="0.3">
      <c r="A9" s="54">
        <v>1</v>
      </c>
      <c r="B9" s="55" t="s">
        <v>74</v>
      </c>
      <c r="C9" s="76" t="s">
        <v>75</v>
      </c>
      <c r="D9" s="55" t="s">
        <v>76</v>
      </c>
      <c r="E9" s="56" t="s">
        <v>77</v>
      </c>
      <c r="F9" s="84">
        <v>20.3</v>
      </c>
      <c r="G9" s="53">
        <v>8</v>
      </c>
      <c r="H9" s="85">
        <f t="shared" ref="H9:H14" si="0">G9/F9</f>
        <v>0.39408866995073888</v>
      </c>
      <c r="I9" s="62"/>
      <c r="J9" s="62"/>
      <c r="K9" s="54">
        <v>1</v>
      </c>
      <c r="L9" s="55" t="s">
        <v>74</v>
      </c>
      <c r="M9" s="76" t="s">
        <v>75</v>
      </c>
      <c r="N9" s="55" t="s">
        <v>76</v>
      </c>
      <c r="O9" s="56" t="s">
        <v>77</v>
      </c>
      <c r="P9" s="84">
        <v>20.3</v>
      </c>
      <c r="Q9" s="53">
        <v>8</v>
      </c>
      <c r="R9" s="85">
        <f t="shared" ref="R9:R14" si="1">Q9/P9</f>
        <v>0.39408866995073888</v>
      </c>
      <c r="S9" s="62"/>
      <c r="T9" s="62"/>
      <c r="U9" s="50"/>
      <c r="V9" s="82">
        <v>2</v>
      </c>
      <c r="W9" s="79" t="s">
        <v>74</v>
      </c>
      <c r="X9" s="79" t="s">
        <v>75</v>
      </c>
      <c r="Y9" s="79" t="s">
        <v>76</v>
      </c>
      <c r="Z9" s="68" t="s">
        <v>77</v>
      </c>
      <c r="AA9" s="254">
        <v>20</v>
      </c>
      <c r="AB9" s="69">
        <f>50</f>
        <v>50</v>
      </c>
      <c r="AC9" s="66">
        <v>9</v>
      </c>
      <c r="AD9" s="70">
        <f>(AC9+AC12)/AA9</f>
        <v>1.075</v>
      </c>
      <c r="AE9" s="63"/>
    </row>
    <row r="10" spans="1:31" ht="20.25" x14ac:dyDescent="0.3">
      <c r="A10" s="54"/>
      <c r="B10" s="55"/>
      <c r="C10" s="76" t="s">
        <v>78</v>
      </c>
      <c r="D10" s="55"/>
      <c r="E10" s="56" t="s">
        <v>79</v>
      </c>
      <c r="F10" s="58">
        <v>19.3</v>
      </c>
      <c r="G10" s="53">
        <v>4</v>
      </c>
      <c r="H10" s="85">
        <f t="shared" si="0"/>
        <v>0.20725388601036268</v>
      </c>
      <c r="I10" s="62"/>
      <c r="J10" s="62"/>
      <c r="K10" s="54"/>
      <c r="L10" s="55"/>
      <c r="M10" s="76" t="s">
        <v>78</v>
      </c>
      <c r="N10" s="55"/>
      <c r="O10" s="56" t="s">
        <v>79</v>
      </c>
      <c r="P10" s="58">
        <v>19.3</v>
      </c>
      <c r="Q10" s="53">
        <v>6.6</v>
      </c>
      <c r="R10" s="85">
        <f t="shared" si="1"/>
        <v>0.34196891191709844</v>
      </c>
      <c r="S10" s="62"/>
      <c r="T10" s="62"/>
      <c r="U10" s="50"/>
      <c r="V10" s="82"/>
      <c r="W10" s="79"/>
      <c r="X10" s="79" t="s">
        <v>78</v>
      </c>
      <c r="Y10" s="79"/>
      <c r="Z10" s="68" t="s">
        <v>79</v>
      </c>
      <c r="AA10" s="254"/>
      <c r="AB10" s="71">
        <f>80</f>
        <v>80</v>
      </c>
      <c r="AC10" s="66">
        <v>5</v>
      </c>
      <c r="AD10" s="70">
        <f>(AC10+AC13)/AA9</f>
        <v>0.55000000000000004</v>
      </c>
      <c r="AE10" s="63"/>
    </row>
    <row r="11" spans="1:31" ht="20.25" x14ac:dyDescent="0.3">
      <c r="A11" s="54"/>
      <c r="B11" s="55"/>
      <c r="C11" s="76" t="s">
        <v>78</v>
      </c>
      <c r="D11" s="55"/>
      <c r="E11" s="56" t="s">
        <v>80</v>
      </c>
      <c r="F11" s="58">
        <v>20.5</v>
      </c>
      <c r="G11" s="59">
        <v>1</v>
      </c>
      <c r="H11" s="85">
        <f t="shared" si="0"/>
        <v>4.878048780487805E-2</v>
      </c>
      <c r="I11" s="62"/>
      <c r="J11" s="62"/>
      <c r="K11" s="54"/>
      <c r="L11" s="55"/>
      <c r="M11" s="76" t="s">
        <v>78</v>
      </c>
      <c r="N11" s="55"/>
      <c r="O11" s="56" t="s">
        <v>80</v>
      </c>
      <c r="P11" s="58">
        <v>20.5</v>
      </c>
      <c r="Q11" s="59">
        <v>1.4</v>
      </c>
      <c r="R11" s="85">
        <f t="shared" si="1"/>
        <v>6.829268292682926E-2</v>
      </c>
      <c r="S11" s="62"/>
      <c r="T11" s="62"/>
      <c r="U11" s="50"/>
      <c r="V11" s="82"/>
      <c r="W11" s="79"/>
      <c r="X11" s="79" t="s">
        <v>78</v>
      </c>
      <c r="Y11" s="79"/>
      <c r="Z11" s="68" t="s">
        <v>80</v>
      </c>
      <c r="AA11" s="254"/>
      <c r="AB11" s="71">
        <f>140</f>
        <v>140</v>
      </c>
      <c r="AC11" s="72">
        <v>2</v>
      </c>
      <c r="AD11" s="70">
        <f>(AC11+AC14)/AA9</f>
        <v>0.2</v>
      </c>
      <c r="AE11" s="63"/>
    </row>
    <row r="12" spans="1:31" ht="20.25" x14ac:dyDescent="0.3">
      <c r="A12" s="54"/>
      <c r="B12" s="55"/>
      <c r="C12" s="76" t="s">
        <v>81</v>
      </c>
      <c r="D12" s="55" t="s">
        <v>76</v>
      </c>
      <c r="E12" s="56" t="s">
        <v>77</v>
      </c>
      <c r="F12" s="84">
        <v>20.3</v>
      </c>
      <c r="G12" s="53">
        <v>11.5</v>
      </c>
      <c r="H12" s="85">
        <f t="shared" si="0"/>
        <v>0.56650246305418717</v>
      </c>
      <c r="I12" s="62"/>
      <c r="J12" s="62"/>
      <c r="K12" s="54"/>
      <c r="L12" s="55"/>
      <c r="M12" s="76" t="s">
        <v>81</v>
      </c>
      <c r="N12" s="55" t="s">
        <v>76</v>
      </c>
      <c r="O12" s="56" t="s">
        <v>77</v>
      </c>
      <c r="P12" s="84">
        <v>20.3</v>
      </c>
      <c r="Q12" s="53">
        <v>11.5</v>
      </c>
      <c r="R12" s="85">
        <f t="shared" si="1"/>
        <v>0.56650246305418717</v>
      </c>
      <c r="S12" s="62"/>
      <c r="T12" s="62"/>
      <c r="U12" s="50"/>
      <c r="V12" s="82"/>
      <c r="W12" s="79"/>
      <c r="X12" s="79" t="s">
        <v>81</v>
      </c>
      <c r="Y12" s="79" t="s">
        <v>76</v>
      </c>
      <c r="Z12" s="68" t="s">
        <v>77</v>
      </c>
      <c r="AA12" s="254">
        <v>20</v>
      </c>
      <c r="AB12" s="69">
        <f>70</f>
        <v>70</v>
      </c>
      <c r="AC12" s="66">
        <v>12.5</v>
      </c>
      <c r="AD12" s="70">
        <f>(AC12+AC9)/AA12</f>
        <v>1.075</v>
      </c>
      <c r="AE12" s="63"/>
    </row>
    <row r="13" spans="1:31" ht="20.25" x14ac:dyDescent="0.3">
      <c r="A13" s="54"/>
      <c r="B13" s="55"/>
      <c r="C13" s="56" t="s">
        <v>78</v>
      </c>
      <c r="D13" s="55"/>
      <c r="E13" s="56" t="s">
        <v>79</v>
      </c>
      <c r="F13" s="58">
        <v>19.3</v>
      </c>
      <c r="G13" s="53">
        <v>5</v>
      </c>
      <c r="H13" s="85">
        <f t="shared" si="0"/>
        <v>0.25906735751295334</v>
      </c>
      <c r="I13" s="62"/>
      <c r="J13" s="62"/>
      <c r="K13" s="54"/>
      <c r="L13" s="55"/>
      <c r="M13" s="56" t="s">
        <v>78</v>
      </c>
      <c r="N13" s="55"/>
      <c r="O13" s="56" t="s">
        <v>79</v>
      </c>
      <c r="P13" s="58">
        <v>19.3</v>
      </c>
      <c r="Q13" s="53">
        <v>8.8000000000000007</v>
      </c>
      <c r="R13" s="85">
        <f t="shared" si="1"/>
        <v>0.45595854922279794</v>
      </c>
      <c r="S13" s="62"/>
      <c r="T13" s="62"/>
      <c r="U13" s="50"/>
      <c r="V13" s="82"/>
      <c r="W13" s="79"/>
      <c r="X13" s="80" t="s">
        <v>78</v>
      </c>
      <c r="Y13" s="79"/>
      <c r="Z13" s="68" t="s">
        <v>79</v>
      </c>
      <c r="AA13" s="254"/>
      <c r="AB13" s="68">
        <f>100</f>
        <v>100</v>
      </c>
      <c r="AC13" s="66">
        <v>6</v>
      </c>
      <c r="AD13" s="70">
        <f>(AC13+AC10)/AA12</f>
        <v>0.55000000000000004</v>
      </c>
      <c r="AE13" s="63"/>
    </row>
    <row r="14" spans="1:31" ht="20.25" x14ac:dyDescent="0.3">
      <c r="A14" s="54"/>
      <c r="B14" s="55"/>
      <c r="C14" s="56" t="s">
        <v>78</v>
      </c>
      <c r="D14" s="55"/>
      <c r="E14" s="56" t="s">
        <v>80</v>
      </c>
      <c r="F14" s="58">
        <v>20.5</v>
      </c>
      <c r="G14" s="53">
        <v>1</v>
      </c>
      <c r="H14" s="85">
        <f t="shared" si="0"/>
        <v>4.878048780487805E-2</v>
      </c>
      <c r="I14" s="62"/>
      <c r="J14" s="62"/>
      <c r="K14" s="54"/>
      <c r="L14" s="55"/>
      <c r="M14" s="56" t="s">
        <v>78</v>
      </c>
      <c r="N14" s="55"/>
      <c r="O14" s="56" t="s">
        <v>80</v>
      </c>
      <c r="P14" s="58">
        <v>20.5</v>
      </c>
      <c r="Q14" s="53">
        <v>1.7</v>
      </c>
      <c r="R14" s="85">
        <f t="shared" si="1"/>
        <v>8.2926829268292687E-2</v>
      </c>
      <c r="S14" s="62"/>
      <c r="T14" s="62"/>
      <c r="U14" s="50"/>
      <c r="V14" s="82"/>
      <c r="W14" s="79"/>
      <c r="X14" s="80" t="s">
        <v>78</v>
      </c>
      <c r="Y14" s="79"/>
      <c r="Z14" s="68" t="s">
        <v>80</v>
      </c>
      <c r="AA14" s="254"/>
      <c r="AB14" s="68">
        <f>180</f>
        <v>180</v>
      </c>
      <c r="AC14" s="66">
        <v>2</v>
      </c>
      <c r="AD14" s="70">
        <f>(AC14+AC11)/AA12</f>
        <v>0.2</v>
      </c>
      <c r="AE14" s="63"/>
    </row>
    <row r="15" spans="1:31" ht="23.25" customHeight="1" x14ac:dyDescent="0.3">
      <c r="A15" s="86"/>
      <c r="B15" s="86"/>
      <c r="C15" s="86"/>
      <c r="D15" s="87" t="s">
        <v>105</v>
      </c>
      <c r="E15" s="88"/>
      <c r="F15" s="89"/>
      <c r="G15" s="90">
        <f>G9+G12</f>
        <v>19.5</v>
      </c>
      <c r="H15" s="57">
        <f>(G9+G12)/F9</f>
        <v>0.96059113300492605</v>
      </c>
      <c r="I15" s="50"/>
      <c r="J15" s="50"/>
      <c r="K15" s="86"/>
      <c r="L15" s="86"/>
      <c r="M15" s="86"/>
      <c r="N15" s="87" t="s">
        <v>105</v>
      </c>
      <c r="O15" s="88"/>
      <c r="P15" s="89"/>
      <c r="Q15" s="90">
        <f>Q9+Q12</f>
        <v>19.5</v>
      </c>
      <c r="R15" s="57">
        <f>(Q9+Q12)/P9</f>
        <v>0.96059113300492605</v>
      </c>
      <c r="S15" s="50"/>
      <c r="T15" s="50"/>
      <c r="U15" s="50"/>
      <c r="V15" s="77"/>
      <c r="W15" s="77"/>
      <c r="X15" s="77"/>
      <c r="Y15" s="83" t="s">
        <v>89</v>
      </c>
      <c r="Z15" s="65"/>
      <c r="AA15" s="65"/>
      <c r="AB15" s="72"/>
      <c r="AC15" s="72">
        <f>AC9+AC12</f>
        <v>21.5</v>
      </c>
      <c r="AD15" s="70"/>
      <c r="AE15" s="63"/>
    </row>
    <row r="16" spans="1:31" ht="20.25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</row>
    <row r="17" spans="1:31" ht="20.25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31" ht="22.5" x14ac:dyDescent="0.3">
      <c r="A18" s="50"/>
      <c r="B18" s="256" t="s">
        <v>82</v>
      </c>
      <c r="C18" s="256"/>
      <c r="D18" s="256"/>
      <c r="E18" s="256"/>
      <c r="F18" s="256"/>
      <c r="G18" s="256"/>
      <c r="H18" s="50"/>
      <c r="I18" s="50"/>
      <c r="J18" s="50"/>
      <c r="K18" s="50"/>
      <c r="L18" s="256" t="s">
        <v>82</v>
      </c>
      <c r="M18" s="256"/>
      <c r="N18" s="256"/>
      <c r="O18" s="256"/>
      <c r="P18" s="256"/>
      <c r="Q18" s="256"/>
      <c r="R18" s="50"/>
      <c r="S18" s="50"/>
      <c r="T18" s="50"/>
      <c r="U18" s="50"/>
      <c r="V18" s="63"/>
      <c r="W18" s="258" t="s">
        <v>82</v>
      </c>
      <c r="X18" s="258"/>
      <c r="Y18" s="258"/>
      <c r="Z18" s="258"/>
      <c r="AA18" s="258"/>
      <c r="AB18" s="258"/>
      <c r="AC18" s="258"/>
      <c r="AD18" s="63"/>
      <c r="AE18" s="63"/>
    </row>
    <row r="19" spans="1:31" ht="17.25" customHeight="1" x14ac:dyDescent="0.3">
      <c r="A19" s="50"/>
      <c r="B19" s="28"/>
      <c r="C19" s="28"/>
      <c r="D19" s="28"/>
      <c r="E19" s="28"/>
      <c r="F19" s="28"/>
      <c r="G19" s="28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63"/>
      <c r="W19" s="64"/>
      <c r="X19" s="64"/>
      <c r="Y19" s="64"/>
      <c r="Z19" s="64"/>
      <c r="AA19" s="64"/>
      <c r="AB19" s="64"/>
      <c r="AC19" s="64"/>
      <c r="AD19" s="63"/>
      <c r="AE19" s="63"/>
    </row>
    <row r="20" spans="1:31" ht="21.75" customHeight="1" x14ac:dyDescent="0.3">
      <c r="A20" s="51"/>
      <c r="B20" s="51"/>
      <c r="C20" s="51"/>
      <c r="D20" s="52" t="s">
        <v>101</v>
      </c>
      <c r="E20" s="52" t="s">
        <v>99</v>
      </c>
      <c r="F20" s="52" t="s">
        <v>106</v>
      </c>
      <c r="G20" s="52" t="s">
        <v>102</v>
      </c>
      <c r="H20" s="53" t="s">
        <v>103</v>
      </c>
      <c r="I20" s="28"/>
      <c r="J20" s="28"/>
      <c r="K20" s="51"/>
      <c r="L20" s="51"/>
      <c r="M20" s="51"/>
      <c r="N20" s="52" t="s">
        <v>101</v>
      </c>
      <c r="O20" s="52" t="s">
        <v>99</v>
      </c>
      <c r="P20" s="52" t="s">
        <v>106</v>
      </c>
      <c r="Q20" s="53" t="s">
        <v>102</v>
      </c>
      <c r="R20" s="53" t="s">
        <v>103</v>
      </c>
      <c r="S20" s="28"/>
      <c r="T20" s="28"/>
      <c r="U20" s="50"/>
      <c r="V20" s="65"/>
      <c r="W20" s="77"/>
      <c r="X20" s="77"/>
      <c r="Y20" s="78" t="s">
        <v>101</v>
      </c>
      <c r="Z20" s="78" t="s">
        <v>99</v>
      </c>
      <c r="AA20" s="78" t="s">
        <v>104</v>
      </c>
      <c r="AB20" s="81" t="s">
        <v>93</v>
      </c>
      <c r="AC20" s="78" t="s">
        <v>102</v>
      </c>
      <c r="AD20" s="81" t="s">
        <v>103</v>
      </c>
      <c r="AE20" s="63"/>
    </row>
    <row r="21" spans="1:31" ht="20.25" x14ac:dyDescent="0.3">
      <c r="A21" s="54">
        <v>1</v>
      </c>
      <c r="B21" s="55" t="s">
        <v>74</v>
      </c>
      <c r="C21" s="76" t="s">
        <v>75</v>
      </c>
      <c r="D21" s="55" t="s">
        <v>76</v>
      </c>
      <c r="E21" s="56" t="s">
        <v>77</v>
      </c>
      <c r="F21" s="84">
        <v>20.3</v>
      </c>
      <c r="G21" s="53">
        <v>14.5</v>
      </c>
      <c r="H21" s="57">
        <f t="shared" ref="H21:H26" si="2">G21/F21</f>
        <v>0.7142857142857143</v>
      </c>
      <c r="I21" s="91"/>
      <c r="J21" s="91"/>
      <c r="K21" s="54">
        <v>1</v>
      </c>
      <c r="L21" s="55" t="s">
        <v>74</v>
      </c>
      <c r="M21" s="76" t="s">
        <v>75</v>
      </c>
      <c r="N21" s="55" t="s">
        <v>76</v>
      </c>
      <c r="O21" s="56" t="s">
        <v>77</v>
      </c>
      <c r="P21" s="84">
        <v>20.3</v>
      </c>
      <c r="Q21" s="53">
        <v>8</v>
      </c>
      <c r="R21" s="85">
        <f t="shared" ref="R21:R26" si="3">Q21/P21</f>
        <v>0.39408866995073888</v>
      </c>
      <c r="S21" s="91"/>
      <c r="T21" s="91"/>
      <c r="U21" s="50"/>
      <c r="V21" s="67">
        <v>2</v>
      </c>
      <c r="W21" s="79" t="s">
        <v>74</v>
      </c>
      <c r="X21" s="80" t="s">
        <v>75</v>
      </c>
      <c r="Y21" s="79" t="s">
        <v>76</v>
      </c>
      <c r="Z21" s="68" t="s">
        <v>77</v>
      </c>
      <c r="AA21" s="254">
        <v>20</v>
      </c>
      <c r="AB21" s="69">
        <f>50</f>
        <v>50</v>
      </c>
      <c r="AC21" s="66">
        <v>15.5</v>
      </c>
      <c r="AD21" s="70">
        <f>(AC21+AC24)/AA21</f>
        <v>1.0649999999999999</v>
      </c>
      <c r="AE21" s="63"/>
    </row>
    <row r="22" spans="1:31" ht="20.25" x14ac:dyDescent="0.3">
      <c r="A22" s="54"/>
      <c r="B22" s="55"/>
      <c r="C22" s="76" t="s">
        <v>78</v>
      </c>
      <c r="D22" s="55"/>
      <c r="E22" s="56" t="s">
        <v>79</v>
      </c>
      <c r="F22" s="58">
        <v>19.3</v>
      </c>
      <c r="G22" s="53">
        <v>5</v>
      </c>
      <c r="H22" s="57">
        <f t="shared" si="2"/>
        <v>0.25906735751295334</v>
      </c>
      <c r="I22" s="91"/>
      <c r="J22" s="91"/>
      <c r="K22" s="54"/>
      <c r="L22" s="55"/>
      <c r="M22" s="76" t="s">
        <v>78</v>
      </c>
      <c r="N22" s="55"/>
      <c r="O22" s="56" t="s">
        <v>79</v>
      </c>
      <c r="P22" s="58">
        <v>19.3</v>
      </c>
      <c r="Q22" s="53">
        <v>9.9</v>
      </c>
      <c r="R22" s="85">
        <f t="shared" si="3"/>
        <v>0.51295336787564771</v>
      </c>
      <c r="S22" s="91"/>
      <c r="T22" s="91"/>
      <c r="U22" s="50"/>
      <c r="V22" s="67"/>
      <c r="W22" s="79"/>
      <c r="X22" s="80" t="s">
        <v>78</v>
      </c>
      <c r="Y22" s="79"/>
      <c r="Z22" s="68" t="s">
        <v>79</v>
      </c>
      <c r="AA22" s="254"/>
      <c r="AB22" s="71">
        <v>65</v>
      </c>
      <c r="AC22" s="66">
        <v>6</v>
      </c>
      <c r="AD22" s="70">
        <f>(AC22+AC25)/AA21</f>
        <v>0.5</v>
      </c>
      <c r="AE22" s="63"/>
    </row>
    <row r="23" spans="1:31" ht="20.25" x14ac:dyDescent="0.3">
      <c r="A23" s="54"/>
      <c r="B23" s="55"/>
      <c r="C23" s="76" t="s">
        <v>78</v>
      </c>
      <c r="D23" s="55"/>
      <c r="E23" s="56" t="s">
        <v>80</v>
      </c>
      <c r="F23" s="58">
        <v>20.5</v>
      </c>
      <c r="G23" s="59">
        <v>1</v>
      </c>
      <c r="H23" s="57">
        <f t="shared" si="2"/>
        <v>4.878048780487805E-2</v>
      </c>
      <c r="I23" s="91"/>
      <c r="J23" s="91"/>
      <c r="K23" s="54"/>
      <c r="L23" s="55"/>
      <c r="M23" s="76" t="s">
        <v>78</v>
      </c>
      <c r="N23" s="55"/>
      <c r="O23" s="56" t="s">
        <v>80</v>
      </c>
      <c r="P23" s="58">
        <v>20.5</v>
      </c>
      <c r="Q23" s="59">
        <v>1</v>
      </c>
      <c r="R23" s="85">
        <f t="shared" si="3"/>
        <v>4.878048780487805E-2</v>
      </c>
      <c r="S23" s="91"/>
      <c r="T23" s="91"/>
      <c r="U23" s="50"/>
      <c r="V23" s="67"/>
      <c r="W23" s="79"/>
      <c r="X23" s="80" t="s">
        <v>78</v>
      </c>
      <c r="Y23" s="79"/>
      <c r="Z23" s="68" t="s">
        <v>80</v>
      </c>
      <c r="AA23" s="254"/>
      <c r="AB23" s="71">
        <v>120</v>
      </c>
      <c r="AC23" s="72">
        <v>2</v>
      </c>
      <c r="AD23" s="70">
        <f>(AC23+AC26)/AA24</f>
        <v>0.26</v>
      </c>
      <c r="AE23" s="63"/>
    </row>
    <row r="24" spans="1:31" ht="20.25" x14ac:dyDescent="0.3">
      <c r="A24" s="54"/>
      <c r="B24" s="55"/>
      <c r="C24" s="76" t="s">
        <v>81</v>
      </c>
      <c r="D24" s="55" t="s">
        <v>76</v>
      </c>
      <c r="E24" s="56" t="s">
        <v>77</v>
      </c>
      <c r="F24" s="84">
        <v>20.3</v>
      </c>
      <c r="G24" s="53">
        <v>4.8</v>
      </c>
      <c r="H24" s="57">
        <f t="shared" si="2"/>
        <v>0.23645320197044334</v>
      </c>
      <c r="I24" s="91"/>
      <c r="J24" s="91"/>
      <c r="K24" s="54"/>
      <c r="L24" s="55"/>
      <c r="M24" s="76" t="s">
        <v>81</v>
      </c>
      <c r="N24" s="55" t="s">
        <v>76</v>
      </c>
      <c r="O24" s="56" t="s">
        <v>77</v>
      </c>
      <c r="P24" s="84">
        <v>20.3</v>
      </c>
      <c r="Q24" s="53">
        <v>11.5</v>
      </c>
      <c r="R24" s="85">
        <f t="shared" si="3"/>
        <v>0.56650246305418717</v>
      </c>
      <c r="S24" s="91"/>
      <c r="T24" s="91"/>
      <c r="U24" s="50"/>
      <c r="V24" s="67"/>
      <c r="W24" s="79"/>
      <c r="X24" s="80" t="s">
        <v>81</v>
      </c>
      <c r="Y24" s="79" t="s">
        <v>76</v>
      </c>
      <c r="Z24" s="68" t="s">
        <v>77</v>
      </c>
      <c r="AA24" s="254">
        <v>20</v>
      </c>
      <c r="AB24" s="69">
        <v>65</v>
      </c>
      <c r="AC24" s="66">
        <v>5.8</v>
      </c>
      <c r="AD24" s="70">
        <f>(AC24+AC21)/AA24</f>
        <v>1.0649999999999999</v>
      </c>
      <c r="AE24" s="63"/>
    </row>
    <row r="25" spans="1:31" ht="20.25" x14ac:dyDescent="0.3">
      <c r="A25" s="54"/>
      <c r="B25" s="55"/>
      <c r="C25" s="76" t="s">
        <v>78</v>
      </c>
      <c r="D25" s="55"/>
      <c r="E25" s="56" t="s">
        <v>79</v>
      </c>
      <c r="F25" s="58">
        <v>19.3</v>
      </c>
      <c r="G25" s="53">
        <v>3</v>
      </c>
      <c r="H25" s="57">
        <f t="shared" si="2"/>
        <v>0.15544041450777202</v>
      </c>
      <c r="I25" s="91"/>
      <c r="J25" s="91"/>
      <c r="K25" s="54"/>
      <c r="L25" s="55"/>
      <c r="M25" s="56" t="s">
        <v>78</v>
      </c>
      <c r="N25" s="55"/>
      <c r="O25" s="56" t="s">
        <v>79</v>
      </c>
      <c r="P25" s="58">
        <v>19.3</v>
      </c>
      <c r="Q25" s="53">
        <v>4.4000000000000004</v>
      </c>
      <c r="R25" s="85">
        <f t="shared" si="3"/>
        <v>0.22797927461139897</v>
      </c>
      <c r="S25" s="91"/>
      <c r="T25" s="91"/>
      <c r="U25" s="50"/>
      <c r="V25" s="67"/>
      <c r="W25" s="79"/>
      <c r="X25" s="80" t="s">
        <v>78</v>
      </c>
      <c r="Y25" s="79"/>
      <c r="Z25" s="68" t="s">
        <v>79</v>
      </c>
      <c r="AA25" s="254"/>
      <c r="AB25" s="68">
        <v>95</v>
      </c>
      <c r="AC25" s="66">
        <v>4</v>
      </c>
      <c r="AD25" s="70">
        <f>(AC25+AC22)/AA24</f>
        <v>0.5</v>
      </c>
      <c r="AE25" s="63"/>
    </row>
    <row r="26" spans="1:31" ht="20.25" x14ac:dyDescent="0.3">
      <c r="A26" s="54"/>
      <c r="B26" s="55"/>
      <c r="C26" s="56" t="s">
        <v>78</v>
      </c>
      <c r="D26" s="55"/>
      <c r="E26" s="56" t="s">
        <v>80</v>
      </c>
      <c r="F26" s="58">
        <v>20.5</v>
      </c>
      <c r="G26" s="53">
        <v>2.2000000000000002</v>
      </c>
      <c r="H26" s="57">
        <f t="shared" si="2"/>
        <v>0.10731707317073172</v>
      </c>
      <c r="I26" s="91"/>
      <c r="J26" s="91"/>
      <c r="K26" s="54"/>
      <c r="L26" s="55"/>
      <c r="M26" s="56" t="s">
        <v>78</v>
      </c>
      <c r="N26" s="55"/>
      <c r="O26" s="56" t="s">
        <v>80</v>
      </c>
      <c r="P26" s="58">
        <v>20.5</v>
      </c>
      <c r="Q26" s="53">
        <v>2.2999999999999998</v>
      </c>
      <c r="R26" s="85">
        <f t="shared" si="3"/>
        <v>0.1121951219512195</v>
      </c>
      <c r="S26" s="91"/>
      <c r="T26" s="91"/>
      <c r="U26" s="50"/>
      <c r="V26" s="67"/>
      <c r="W26" s="79"/>
      <c r="X26" s="80" t="s">
        <v>78</v>
      </c>
      <c r="Y26" s="79"/>
      <c r="Z26" s="68" t="s">
        <v>80</v>
      </c>
      <c r="AA26" s="254"/>
      <c r="AB26" s="68">
        <f>180</f>
        <v>180</v>
      </c>
      <c r="AC26" s="66">
        <v>3.2</v>
      </c>
      <c r="AD26" s="70">
        <f>(AC26+AC23)/AA24</f>
        <v>0.26</v>
      </c>
      <c r="AE26" s="63"/>
    </row>
    <row r="27" spans="1:31" ht="28.5" customHeight="1" x14ac:dyDescent="0.3">
      <c r="A27" s="51"/>
      <c r="B27" s="51"/>
      <c r="C27" s="51"/>
      <c r="D27" s="87" t="s">
        <v>105</v>
      </c>
      <c r="E27" s="92"/>
      <c r="F27" s="93"/>
      <c r="G27" s="53">
        <f>G21+G24</f>
        <v>19.3</v>
      </c>
      <c r="H27" s="57">
        <f>(G21+G24)/F24</f>
        <v>0.95073891625615758</v>
      </c>
      <c r="I27" s="94"/>
      <c r="J27" s="94"/>
      <c r="K27" s="86"/>
      <c r="L27" s="86"/>
      <c r="M27" s="86"/>
      <c r="N27" s="95" t="s">
        <v>105</v>
      </c>
      <c r="O27" s="96"/>
      <c r="P27" s="97"/>
      <c r="Q27" s="90">
        <f>Q21+Q24</f>
        <v>19.5</v>
      </c>
      <c r="R27" s="57">
        <f>(Q21+Q24)/P21</f>
        <v>0.96059113300492605</v>
      </c>
      <c r="S27" s="94"/>
      <c r="T27" s="94"/>
      <c r="U27" s="50"/>
      <c r="V27" s="65"/>
      <c r="W27" s="77"/>
      <c r="X27" s="77"/>
      <c r="Y27" s="78" t="s">
        <v>89</v>
      </c>
      <c r="Z27" s="73"/>
      <c r="AA27" s="73"/>
      <c r="AB27" s="66"/>
      <c r="AC27" s="66">
        <f>AC21+AC24</f>
        <v>21.3</v>
      </c>
      <c r="AD27" s="74"/>
      <c r="AE27" s="63"/>
    </row>
    <row r="28" spans="1:31" ht="20.25" x14ac:dyDescent="0.3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63"/>
      <c r="W28" s="63"/>
      <c r="X28" s="63"/>
      <c r="Y28" s="63"/>
      <c r="Z28" s="63"/>
      <c r="AA28" s="63"/>
      <c r="AB28" s="63"/>
      <c r="AC28" s="63"/>
      <c r="AD28" s="63"/>
      <c r="AE28" s="63"/>
    </row>
    <row r="29" spans="1:31" ht="20.25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</row>
    <row r="30" spans="1:31" ht="20.25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</row>
    <row r="31" spans="1:31" ht="20.25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</row>
    <row r="32" spans="1:31" ht="20.25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</row>
    <row r="33" spans="1:21" ht="20.25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</row>
    <row r="34" spans="1:21" ht="20.25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</row>
    <row r="35" spans="1:21" ht="20.2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</row>
    <row r="36" spans="1:21" ht="20.2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</row>
    <row r="37" spans="1:21" ht="20.2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</row>
    <row r="38" spans="1:21" ht="20.25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</row>
    <row r="39" spans="1:21" ht="20.25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</row>
    <row r="40" spans="1:21" ht="20.25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</row>
    <row r="41" spans="1:21" ht="20.25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</sheetData>
  <mergeCells count="13">
    <mergeCell ref="AA24:AA26"/>
    <mergeCell ref="K6:R6"/>
    <mergeCell ref="L18:Q18"/>
    <mergeCell ref="K4:R4"/>
    <mergeCell ref="V2:AD2"/>
    <mergeCell ref="A2:U2"/>
    <mergeCell ref="B18:G18"/>
    <mergeCell ref="W18:AC18"/>
    <mergeCell ref="AA21:AA23"/>
    <mergeCell ref="B6:G6"/>
    <mergeCell ref="W6:AC6"/>
    <mergeCell ref="AA9:AA11"/>
    <mergeCell ref="AA12:AA14"/>
  </mergeCells>
  <pageMargins left="0.7" right="0.7" top="0.75" bottom="0.75" header="0.3" footer="0.3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0"/>
  <sheetViews>
    <sheetView tabSelected="1" topLeftCell="A203" workbookViewId="0">
      <selection activeCell="E218" sqref="E218"/>
    </sheetView>
  </sheetViews>
  <sheetFormatPr defaultRowHeight="15" x14ac:dyDescent="0.25"/>
  <cols>
    <col min="2" max="2" width="25" customWidth="1"/>
    <col min="4" max="4" width="23.7109375" customWidth="1"/>
    <col min="5" max="5" width="16.140625" customWidth="1"/>
    <col min="6" max="6" width="14" customWidth="1"/>
    <col min="7" max="7" width="16.140625" customWidth="1"/>
  </cols>
  <sheetData>
    <row r="1" spans="1:7" x14ac:dyDescent="0.25">
      <c r="G1" s="98"/>
    </row>
    <row r="2" spans="1:7" x14ac:dyDescent="0.25">
      <c r="G2" s="98"/>
    </row>
    <row r="3" spans="1:7" x14ac:dyDescent="0.25">
      <c r="G3" s="98"/>
    </row>
    <row r="4" spans="1:7" x14ac:dyDescent="0.25">
      <c r="G4" s="98"/>
    </row>
    <row r="5" spans="1:7" ht="15.75" thickBot="1" x14ac:dyDescent="0.3">
      <c r="A5" t="s">
        <v>108</v>
      </c>
      <c r="B5" t="s">
        <v>109</v>
      </c>
      <c r="C5" t="s">
        <v>110</v>
      </c>
      <c r="D5" t="s">
        <v>111</v>
      </c>
      <c r="E5" t="s">
        <v>112</v>
      </c>
      <c r="F5" t="s">
        <v>112</v>
      </c>
      <c r="G5" s="98" t="s">
        <v>113</v>
      </c>
    </row>
    <row r="6" spans="1:7" ht="21" customHeight="1" x14ac:dyDescent="0.25">
      <c r="A6" s="99" t="s">
        <v>114</v>
      </c>
      <c r="B6" s="100" t="s">
        <v>115</v>
      </c>
      <c r="C6" s="101" t="s">
        <v>116</v>
      </c>
      <c r="D6" s="102" t="s">
        <v>117</v>
      </c>
      <c r="E6" s="13" t="s">
        <v>307</v>
      </c>
      <c r="F6" s="101" t="s">
        <v>310</v>
      </c>
      <c r="G6" s="143" t="s">
        <v>118</v>
      </c>
    </row>
    <row r="7" spans="1:7" ht="23.25" customHeight="1" thickBot="1" x14ac:dyDescent="0.3">
      <c r="A7" s="103"/>
      <c r="B7" s="104" t="s">
        <v>119</v>
      </c>
      <c r="C7" s="104" t="s">
        <v>119</v>
      </c>
      <c r="D7" s="104" t="s">
        <v>120</v>
      </c>
      <c r="E7" s="104" t="s">
        <v>78</v>
      </c>
      <c r="F7" s="104" t="s">
        <v>78</v>
      </c>
      <c r="G7" s="144" t="s">
        <v>121</v>
      </c>
    </row>
    <row r="8" spans="1:7" ht="27" customHeight="1" thickBot="1" x14ac:dyDescent="0.3">
      <c r="A8" s="23"/>
      <c r="B8" s="23"/>
      <c r="C8" s="23"/>
      <c r="D8" s="23"/>
      <c r="E8" s="23"/>
      <c r="F8" s="23" t="s">
        <v>122</v>
      </c>
      <c r="G8" s="105" t="s">
        <v>122</v>
      </c>
    </row>
    <row r="9" spans="1:7" ht="15.75" x14ac:dyDescent="0.25">
      <c r="A9" s="106" t="s">
        <v>123</v>
      </c>
      <c r="B9" s="101" t="s">
        <v>124</v>
      </c>
      <c r="C9" s="102" t="s">
        <v>125</v>
      </c>
      <c r="D9" s="101" t="s">
        <v>126</v>
      </c>
      <c r="E9" s="183">
        <v>212.5</v>
      </c>
      <c r="F9" s="198">
        <f>1.732*0.85*220*207/1000</f>
        <v>67.043987999999999</v>
      </c>
      <c r="G9" s="200">
        <f>(F9+F11)/E9</f>
        <v>0.62033311999999996</v>
      </c>
    </row>
    <row r="10" spans="1:7" ht="15.75" x14ac:dyDescent="0.25">
      <c r="A10" s="12"/>
      <c r="B10" s="13"/>
      <c r="C10" s="14" t="s">
        <v>78</v>
      </c>
      <c r="D10" s="13"/>
      <c r="E10" s="184"/>
      <c r="F10" s="199"/>
      <c r="G10" s="201"/>
    </row>
    <row r="11" spans="1:7" ht="15.75" x14ac:dyDescent="0.25">
      <c r="A11" s="12"/>
      <c r="B11" s="13"/>
      <c r="C11" s="14" t="s">
        <v>127</v>
      </c>
      <c r="D11" s="13" t="s">
        <v>126</v>
      </c>
      <c r="E11" s="184"/>
      <c r="F11" s="198">
        <f>1.732*0.85*220*200/1000</f>
        <v>64.776800000000009</v>
      </c>
      <c r="G11" s="201"/>
    </row>
    <row r="12" spans="1:7" ht="15.75" x14ac:dyDescent="0.25">
      <c r="A12" s="12"/>
      <c r="B12" s="13"/>
      <c r="C12" s="14" t="s">
        <v>78</v>
      </c>
      <c r="D12" s="13"/>
      <c r="E12" s="185"/>
      <c r="F12" s="199"/>
      <c r="G12" s="202"/>
    </row>
    <row r="13" spans="1:7" ht="15.75" x14ac:dyDescent="0.25">
      <c r="A13" s="12"/>
      <c r="B13" s="13"/>
      <c r="C13" s="14" t="s">
        <v>78</v>
      </c>
      <c r="D13" s="13"/>
      <c r="E13" s="145" t="s">
        <v>78</v>
      </c>
      <c r="F13" s="151"/>
      <c r="G13" s="152"/>
    </row>
    <row r="14" spans="1:7" ht="15.75" x14ac:dyDescent="0.25">
      <c r="A14" s="12" t="s">
        <v>128</v>
      </c>
      <c r="B14" s="13" t="s">
        <v>129</v>
      </c>
      <c r="C14" s="14" t="s">
        <v>130</v>
      </c>
      <c r="D14" s="13" t="s">
        <v>131</v>
      </c>
      <c r="E14" s="183">
        <v>34</v>
      </c>
      <c r="F14" s="186">
        <f>(1.732*0.85*110*95)/1000</f>
        <v>15.384490000000001</v>
      </c>
      <c r="G14" s="189">
        <f>(F14+F17)/E14</f>
        <v>0.76208000000000009</v>
      </c>
    </row>
    <row r="15" spans="1:7" ht="15.75" x14ac:dyDescent="0.25">
      <c r="A15" s="12"/>
      <c r="B15" s="13"/>
      <c r="C15" s="14" t="s">
        <v>78</v>
      </c>
      <c r="D15" s="13"/>
      <c r="E15" s="184"/>
      <c r="F15" s="187"/>
      <c r="G15" s="190"/>
    </row>
    <row r="16" spans="1:7" ht="15.75" x14ac:dyDescent="0.25">
      <c r="A16" s="12"/>
      <c r="B16" s="13"/>
      <c r="C16" s="14" t="s">
        <v>78</v>
      </c>
      <c r="D16" s="13"/>
      <c r="E16" s="184"/>
      <c r="F16" s="188"/>
      <c r="G16" s="190"/>
    </row>
    <row r="17" spans="1:16" ht="15.75" x14ac:dyDescent="0.25">
      <c r="A17" s="12"/>
      <c r="B17" s="13"/>
      <c r="C17" s="14" t="s">
        <v>81</v>
      </c>
      <c r="D17" s="13" t="s">
        <v>131</v>
      </c>
      <c r="E17" s="184"/>
      <c r="F17" s="186">
        <f>(1.732*0.85*110*65)/1000</f>
        <v>10.52623</v>
      </c>
      <c r="G17" s="190"/>
    </row>
    <row r="18" spans="1:16" ht="15.75" x14ac:dyDescent="0.25">
      <c r="A18" s="12"/>
      <c r="B18" s="13"/>
      <c r="C18" s="14" t="s">
        <v>78</v>
      </c>
      <c r="D18" s="13"/>
      <c r="E18" s="184"/>
      <c r="F18" s="187"/>
      <c r="G18" s="190"/>
    </row>
    <row r="19" spans="1:16" ht="15.75" x14ac:dyDescent="0.25">
      <c r="A19" s="12"/>
      <c r="B19" s="13"/>
      <c r="C19" s="14" t="s">
        <v>78</v>
      </c>
      <c r="D19" s="13"/>
      <c r="E19" s="185"/>
      <c r="F19" s="188"/>
      <c r="G19" s="191"/>
    </row>
    <row r="20" spans="1:16" ht="15.75" x14ac:dyDescent="0.25">
      <c r="A20" s="12"/>
      <c r="B20" s="13"/>
      <c r="C20" s="14" t="s">
        <v>78</v>
      </c>
      <c r="D20" s="13"/>
      <c r="E20" s="145" t="s">
        <v>78</v>
      </c>
      <c r="F20" s="145"/>
      <c r="G20" s="153"/>
    </row>
    <row r="21" spans="1:16" ht="18" customHeight="1" x14ac:dyDescent="0.25">
      <c r="A21" s="12" t="s">
        <v>73</v>
      </c>
      <c r="B21" s="13" t="s">
        <v>74</v>
      </c>
      <c r="C21" s="14" t="s">
        <v>75</v>
      </c>
      <c r="D21" s="13" t="s">
        <v>76</v>
      </c>
      <c r="E21" s="192">
        <v>21.3</v>
      </c>
      <c r="F21" s="186">
        <f>(1.732*0.85*110*55)/1000</f>
        <v>8.9068100000000019</v>
      </c>
      <c r="G21" s="195">
        <f>(F21+F24)/E21</f>
        <v>0.87433474178403769</v>
      </c>
    </row>
    <row r="22" spans="1:16" ht="20.25" x14ac:dyDescent="0.3">
      <c r="A22" s="12"/>
      <c r="B22" s="13"/>
      <c r="C22" s="14" t="s">
        <v>78</v>
      </c>
      <c r="D22" s="13"/>
      <c r="E22" s="193"/>
      <c r="F22" s="187"/>
      <c r="G22" s="196"/>
      <c r="M22" s="182" t="s">
        <v>308</v>
      </c>
      <c r="N22" s="182"/>
      <c r="O22" s="182"/>
      <c r="P22" s="182"/>
    </row>
    <row r="23" spans="1:16" ht="15.75" x14ac:dyDescent="0.25">
      <c r="A23" s="12"/>
      <c r="B23" s="13"/>
      <c r="C23" s="14" t="s">
        <v>78</v>
      </c>
      <c r="D23" s="13"/>
      <c r="E23" s="193"/>
      <c r="F23" s="188"/>
      <c r="G23" s="196"/>
    </row>
    <row r="24" spans="1:16" ht="15.75" x14ac:dyDescent="0.25">
      <c r="A24" s="12"/>
      <c r="B24" s="13"/>
      <c r="C24" s="14" t="s">
        <v>81</v>
      </c>
      <c r="D24" s="13" t="s">
        <v>76</v>
      </c>
      <c r="E24" s="193"/>
      <c r="F24" s="186">
        <f>(1.732*0.85*110*60)/1000</f>
        <v>9.7165200000000009</v>
      </c>
      <c r="G24" s="196"/>
    </row>
    <row r="25" spans="1:16" ht="15.75" x14ac:dyDescent="0.25">
      <c r="A25" s="12"/>
      <c r="B25" s="13"/>
      <c r="C25" s="14" t="s">
        <v>78</v>
      </c>
      <c r="D25" s="13"/>
      <c r="E25" s="193"/>
      <c r="F25" s="187"/>
      <c r="G25" s="196"/>
    </row>
    <row r="26" spans="1:16" ht="15.75" x14ac:dyDescent="0.25">
      <c r="A26" s="12"/>
      <c r="B26" s="13"/>
      <c r="C26" s="14" t="s">
        <v>78</v>
      </c>
      <c r="D26" s="13"/>
      <c r="E26" s="194"/>
      <c r="F26" s="188"/>
      <c r="G26" s="197"/>
    </row>
    <row r="27" spans="1:16" ht="15.75" x14ac:dyDescent="0.25">
      <c r="A27" s="12"/>
      <c r="B27" s="13"/>
      <c r="C27" s="14" t="s">
        <v>78</v>
      </c>
      <c r="D27" s="13"/>
      <c r="E27" s="145" t="s">
        <v>78</v>
      </c>
      <c r="F27" s="145"/>
      <c r="G27" s="152"/>
    </row>
    <row r="28" spans="1:16" ht="15.75" x14ac:dyDescent="0.25">
      <c r="A28" s="12" t="s">
        <v>132</v>
      </c>
      <c r="B28" s="46" t="s">
        <v>133</v>
      </c>
      <c r="C28" s="18" t="s">
        <v>130</v>
      </c>
      <c r="D28" s="46" t="s">
        <v>134</v>
      </c>
      <c r="E28" s="192">
        <v>21.3</v>
      </c>
      <c r="F28" s="186">
        <f>(1.732*0.85*110*26)/1000</f>
        <v>4.2104920000000003</v>
      </c>
      <c r="G28" s="204">
        <f>(F28+F31)/E28</f>
        <v>0.44096882629107975</v>
      </c>
    </row>
    <row r="29" spans="1:16" ht="15.75" x14ac:dyDescent="0.25">
      <c r="A29" s="12"/>
      <c r="B29" s="13"/>
      <c r="C29" s="14" t="s">
        <v>135</v>
      </c>
      <c r="D29" s="13"/>
      <c r="E29" s="193"/>
      <c r="F29" s="187"/>
      <c r="G29" s="201"/>
    </row>
    <row r="30" spans="1:16" ht="15.75" x14ac:dyDescent="0.25">
      <c r="A30" s="12"/>
      <c r="B30" s="13"/>
      <c r="C30" s="14" t="s">
        <v>136</v>
      </c>
      <c r="D30" s="13"/>
      <c r="E30" s="193"/>
      <c r="F30" s="188"/>
      <c r="G30" s="201"/>
    </row>
    <row r="31" spans="1:16" ht="15.75" x14ac:dyDescent="0.25">
      <c r="A31" s="12"/>
      <c r="B31" s="13"/>
      <c r="C31" s="14" t="s">
        <v>81</v>
      </c>
      <c r="D31" s="13" t="s">
        <v>134</v>
      </c>
      <c r="E31" s="193"/>
      <c r="F31" s="186">
        <f>(1.732*0.85*110*32)/1000</f>
        <v>5.1821440000000001</v>
      </c>
      <c r="G31" s="201"/>
    </row>
    <row r="32" spans="1:16" ht="15.75" x14ac:dyDescent="0.25">
      <c r="A32" s="12"/>
      <c r="B32" s="13"/>
      <c r="C32" s="14" t="s">
        <v>137</v>
      </c>
      <c r="D32" s="13"/>
      <c r="E32" s="193"/>
      <c r="F32" s="187"/>
      <c r="G32" s="201"/>
    </row>
    <row r="33" spans="1:7" ht="15.75" x14ac:dyDescent="0.25">
      <c r="A33" s="12"/>
      <c r="B33" s="13"/>
      <c r="C33" s="14" t="s">
        <v>138</v>
      </c>
      <c r="D33" s="13"/>
      <c r="E33" s="194"/>
      <c r="F33" s="188"/>
      <c r="G33" s="202"/>
    </row>
    <row r="34" spans="1:7" ht="15.75" x14ac:dyDescent="0.25">
      <c r="A34" s="12"/>
      <c r="B34" s="13"/>
      <c r="C34" s="14" t="s">
        <v>78</v>
      </c>
      <c r="D34" s="13"/>
      <c r="E34" s="145" t="s">
        <v>78</v>
      </c>
      <c r="F34" s="145" t="s">
        <v>78</v>
      </c>
      <c r="G34" s="152"/>
    </row>
    <row r="35" spans="1:7" ht="15.75" x14ac:dyDescent="0.25">
      <c r="A35" s="12" t="s">
        <v>139</v>
      </c>
      <c r="B35" s="13" t="s">
        <v>140</v>
      </c>
      <c r="C35" s="14" t="s">
        <v>75</v>
      </c>
      <c r="D35" s="13" t="s">
        <v>76</v>
      </c>
      <c r="E35" s="192">
        <v>21.3</v>
      </c>
      <c r="F35" s="186">
        <f>(1.732*0.85*110*51)/1000</f>
        <v>8.2590420000000009</v>
      </c>
      <c r="G35" s="204">
        <f>(F35+F38)/E35</f>
        <v>0.52460084507042259</v>
      </c>
    </row>
    <row r="36" spans="1:7" ht="15.75" x14ac:dyDescent="0.25">
      <c r="A36" s="12"/>
      <c r="B36" s="13"/>
      <c r="C36" s="14" t="s">
        <v>78</v>
      </c>
      <c r="D36" s="13"/>
      <c r="E36" s="193"/>
      <c r="F36" s="187"/>
      <c r="G36" s="201"/>
    </row>
    <row r="37" spans="1:7" ht="15.75" x14ac:dyDescent="0.25">
      <c r="A37" s="12"/>
      <c r="B37" s="13"/>
      <c r="C37" s="14" t="s">
        <v>78</v>
      </c>
      <c r="D37" s="13"/>
      <c r="E37" s="193"/>
      <c r="F37" s="188"/>
      <c r="G37" s="201"/>
    </row>
    <row r="38" spans="1:7" ht="15.75" x14ac:dyDescent="0.25">
      <c r="A38" s="12"/>
      <c r="B38" s="13"/>
      <c r="C38" s="14" t="s">
        <v>81</v>
      </c>
      <c r="D38" s="13" t="s">
        <v>76</v>
      </c>
      <c r="E38" s="193"/>
      <c r="F38" s="186">
        <f>(1.732*0.85*110*18)/1000</f>
        <v>2.9149560000000001</v>
      </c>
      <c r="G38" s="201"/>
    </row>
    <row r="39" spans="1:7" ht="15.75" x14ac:dyDescent="0.25">
      <c r="A39" s="12"/>
      <c r="B39" s="13"/>
      <c r="C39" s="14" t="s">
        <v>78</v>
      </c>
      <c r="D39" s="13"/>
      <c r="E39" s="193"/>
      <c r="F39" s="187"/>
      <c r="G39" s="201"/>
    </row>
    <row r="40" spans="1:7" ht="15.75" x14ac:dyDescent="0.25">
      <c r="A40" s="12"/>
      <c r="B40" s="13"/>
      <c r="C40" s="14" t="s">
        <v>78</v>
      </c>
      <c r="D40" s="13"/>
      <c r="E40" s="194"/>
      <c r="F40" s="188"/>
      <c r="G40" s="202"/>
    </row>
    <row r="41" spans="1:7" ht="15.75" x14ac:dyDescent="0.25">
      <c r="A41" s="12"/>
      <c r="B41" s="13"/>
      <c r="C41" s="14" t="s">
        <v>78</v>
      </c>
      <c r="D41" s="13"/>
      <c r="E41" s="145" t="s">
        <v>78</v>
      </c>
      <c r="F41" s="145"/>
      <c r="G41" s="152"/>
    </row>
    <row r="42" spans="1:7" ht="15.75" x14ac:dyDescent="0.25">
      <c r="A42" s="107" t="s">
        <v>141</v>
      </c>
      <c r="B42" s="108" t="s">
        <v>142</v>
      </c>
      <c r="C42" s="109" t="s">
        <v>75</v>
      </c>
      <c r="D42" s="108" t="s">
        <v>143</v>
      </c>
      <c r="E42" s="183">
        <v>13.5</v>
      </c>
      <c r="F42" s="177">
        <f>(1.732*0.92*6*520)/1000</f>
        <v>4.9715328000000003</v>
      </c>
      <c r="G42" s="195">
        <f>(F42+F43)/E42</f>
        <v>0.68836607999999999</v>
      </c>
    </row>
    <row r="43" spans="1:7" ht="15.75" x14ac:dyDescent="0.25">
      <c r="A43" s="107"/>
      <c r="B43" s="108"/>
      <c r="C43" s="109" t="s">
        <v>81</v>
      </c>
      <c r="D43" s="108" t="s">
        <v>143</v>
      </c>
      <c r="E43" s="185"/>
      <c r="F43" s="177">
        <f>(1.732*0.92*6*452)/1000</f>
        <v>4.3214092800000001</v>
      </c>
      <c r="G43" s="197"/>
    </row>
    <row r="44" spans="1:7" ht="15.75" x14ac:dyDescent="0.25">
      <c r="A44" s="12"/>
      <c r="B44" s="13"/>
      <c r="C44" s="14" t="s">
        <v>78</v>
      </c>
      <c r="D44" s="13"/>
      <c r="E44" s="145" t="s">
        <v>78</v>
      </c>
      <c r="F44" s="145"/>
      <c r="G44" s="153"/>
    </row>
    <row r="45" spans="1:7" ht="15.75" x14ac:dyDescent="0.25">
      <c r="A45" s="12" t="s">
        <v>144</v>
      </c>
      <c r="B45" s="13" t="s">
        <v>145</v>
      </c>
      <c r="C45" s="14" t="s">
        <v>75</v>
      </c>
      <c r="D45" s="13" t="s">
        <v>146</v>
      </c>
      <c r="E45" s="203">
        <v>8.5</v>
      </c>
      <c r="F45" s="177">
        <f>(1.732*0.92*6*310)/1000</f>
        <v>2.9637983999999995</v>
      </c>
      <c r="G45" s="189">
        <f>(F45+F46)/E45</f>
        <v>0.74460513882352941</v>
      </c>
    </row>
    <row r="46" spans="1:7" ht="15.75" x14ac:dyDescent="0.25">
      <c r="A46" s="12"/>
      <c r="B46" s="13"/>
      <c r="C46" s="14" t="s">
        <v>81</v>
      </c>
      <c r="D46" s="13" t="s">
        <v>146</v>
      </c>
      <c r="E46" s="203"/>
      <c r="F46" s="177">
        <f>(1.732*0.92*6*352)/1000</f>
        <v>3.3653452799999997</v>
      </c>
      <c r="G46" s="191"/>
    </row>
    <row r="47" spans="1:7" ht="15.75" x14ac:dyDescent="0.25">
      <c r="A47" s="12"/>
      <c r="B47" s="13"/>
      <c r="C47" s="14" t="s">
        <v>78</v>
      </c>
      <c r="D47" s="13"/>
      <c r="E47" s="145" t="s">
        <v>78</v>
      </c>
      <c r="F47" s="145"/>
      <c r="G47" s="152"/>
    </row>
    <row r="48" spans="1:7" ht="15.75" x14ac:dyDescent="0.25">
      <c r="A48" s="12" t="s">
        <v>147</v>
      </c>
      <c r="B48" s="13" t="s">
        <v>148</v>
      </c>
      <c r="C48" s="14" t="s">
        <v>75</v>
      </c>
      <c r="D48" s="13" t="s">
        <v>146</v>
      </c>
      <c r="E48" s="183">
        <v>8.5</v>
      </c>
      <c r="F48" s="177">
        <f>(1.732*0.92*6*450)/1000</f>
        <v>4.3022879999999999</v>
      </c>
      <c r="G48" s="189">
        <f>(F48+F49)/E48</f>
        <v>0.78734682352941177</v>
      </c>
    </row>
    <row r="49" spans="1:7" ht="15.75" x14ac:dyDescent="0.25">
      <c r="A49" s="12"/>
      <c r="B49" s="13"/>
      <c r="C49" s="14" t="s">
        <v>81</v>
      </c>
      <c r="D49" s="13" t="s">
        <v>146</v>
      </c>
      <c r="E49" s="185"/>
      <c r="F49" s="177">
        <f>(1.732*0.92*6*250)/1000</f>
        <v>2.3901599999999998</v>
      </c>
      <c r="G49" s="191"/>
    </row>
    <row r="50" spans="1:7" ht="15.75" x14ac:dyDescent="0.25">
      <c r="A50" s="12"/>
      <c r="B50" s="13"/>
      <c r="C50" s="14" t="s">
        <v>78</v>
      </c>
      <c r="D50" s="13"/>
      <c r="E50" s="145" t="s">
        <v>78</v>
      </c>
      <c r="F50" s="145"/>
      <c r="G50" s="152"/>
    </row>
    <row r="51" spans="1:7" ht="15.75" x14ac:dyDescent="0.25">
      <c r="A51" s="12" t="s">
        <v>149</v>
      </c>
      <c r="B51" s="13" t="s">
        <v>150</v>
      </c>
      <c r="C51" s="14" t="s">
        <v>75</v>
      </c>
      <c r="D51" s="13" t="s">
        <v>143</v>
      </c>
      <c r="E51" s="183">
        <v>13.6</v>
      </c>
      <c r="F51" s="177">
        <f>(1.732*0.92*6*508)/1000</f>
        <v>4.8568051199999998</v>
      </c>
      <c r="G51" s="189">
        <f>(F51+F52)/E51</f>
        <v>0.5602816235294118</v>
      </c>
    </row>
    <row r="52" spans="1:7" ht="15.75" x14ac:dyDescent="0.25">
      <c r="A52" s="12"/>
      <c r="B52" s="13"/>
      <c r="C52" s="14" t="s">
        <v>81</v>
      </c>
      <c r="D52" s="13" t="s">
        <v>143</v>
      </c>
      <c r="E52" s="185"/>
      <c r="F52" s="177">
        <f>(1.732*0.92*6*289)/1000</f>
        <v>2.7630249599999996</v>
      </c>
      <c r="G52" s="191"/>
    </row>
    <row r="53" spans="1:7" ht="15.75" x14ac:dyDescent="0.25">
      <c r="A53" s="12"/>
      <c r="B53" s="13"/>
      <c r="C53" s="14" t="s">
        <v>78</v>
      </c>
      <c r="D53" s="13"/>
      <c r="E53" s="145" t="s">
        <v>78</v>
      </c>
      <c r="F53" s="145"/>
      <c r="G53" s="152"/>
    </row>
    <row r="54" spans="1:7" ht="15.75" x14ac:dyDescent="0.25">
      <c r="A54" s="12" t="s">
        <v>151</v>
      </c>
      <c r="B54" s="148" t="s">
        <v>152</v>
      </c>
      <c r="C54" s="14" t="s">
        <v>75</v>
      </c>
      <c r="D54" s="13" t="s">
        <v>143</v>
      </c>
      <c r="E54" s="183">
        <v>13.5</v>
      </c>
      <c r="F54" s="177">
        <f>(1.732*0.92*6*171)/1000</f>
        <v>1.6348694399999999</v>
      </c>
      <c r="G54" s="189">
        <f>(F54+F55)/E54</f>
        <v>0.26344874666666668</v>
      </c>
    </row>
    <row r="55" spans="1:7" ht="15.75" x14ac:dyDescent="0.25">
      <c r="A55" s="12"/>
      <c r="B55" s="13"/>
      <c r="C55" s="14" t="s">
        <v>81</v>
      </c>
      <c r="D55" s="13" t="s">
        <v>143</v>
      </c>
      <c r="E55" s="185"/>
      <c r="F55" s="177">
        <f>(1.732*0.92*6*201)/1000</f>
        <v>1.9216886399999999</v>
      </c>
      <c r="G55" s="191"/>
    </row>
    <row r="56" spans="1:7" ht="15.75" x14ac:dyDescent="0.25">
      <c r="A56" s="12"/>
      <c r="B56" s="13"/>
      <c r="C56" s="14" t="s">
        <v>78</v>
      </c>
      <c r="D56" s="13"/>
      <c r="E56" s="145" t="s">
        <v>78</v>
      </c>
      <c r="F56" s="145"/>
      <c r="G56" s="152"/>
    </row>
    <row r="57" spans="1:7" ht="21.75" customHeight="1" x14ac:dyDescent="0.25">
      <c r="A57" s="12" t="s">
        <v>154</v>
      </c>
      <c r="B57" s="13" t="s">
        <v>155</v>
      </c>
      <c r="C57" s="14" t="s">
        <v>81</v>
      </c>
      <c r="D57" s="13" t="s">
        <v>153</v>
      </c>
      <c r="E57" s="5">
        <v>5.3</v>
      </c>
      <c r="F57" s="177">
        <f>(1.732*0.92*6*35)/1000</f>
        <v>0.33462239999999999</v>
      </c>
      <c r="G57" s="147">
        <f>F57/E57</f>
        <v>6.3136301886792451E-2</v>
      </c>
    </row>
    <row r="58" spans="1:7" ht="15.75" x14ac:dyDescent="0.25">
      <c r="A58" s="12"/>
      <c r="B58" s="13"/>
      <c r="C58" s="14" t="s">
        <v>78</v>
      </c>
      <c r="D58" s="13"/>
      <c r="E58" s="145" t="s">
        <v>78</v>
      </c>
      <c r="F58" s="145"/>
      <c r="G58" s="152"/>
    </row>
    <row r="59" spans="1:7" ht="15.75" x14ac:dyDescent="0.25">
      <c r="A59" s="12" t="s">
        <v>156</v>
      </c>
      <c r="B59" s="13" t="s">
        <v>157</v>
      </c>
      <c r="C59" s="14" t="s">
        <v>75</v>
      </c>
      <c r="D59" s="13" t="s">
        <v>158</v>
      </c>
      <c r="E59" s="183">
        <v>13</v>
      </c>
      <c r="F59" s="177">
        <f>(1.732*0.92*6*345)/1000</f>
        <v>3.2984207999999997</v>
      </c>
      <c r="G59" s="189">
        <f>(F59+F60)/E59</f>
        <v>0.54789821538461525</v>
      </c>
    </row>
    <row r="60" spans="1:7" ht="15.75" x14ac:dyDescent="0.25">
      <c r="A60" s="12"/>
      <c r="B60" s="13"/>
      <c r="C60" s="14" t="s">
        <v>81</v>
      </c>
      <c r="D60" s="13" t="s">
        <v>158</v>
      </c>
      <c r="E60" s="185"/>
      <c r="F60" s="177">
        <f>(1.732*0.92*6*400)/1000</f>
        <v>3.8242559999999997</v>
      </c>
      <c r="G60" s="191"/>
    </row>
    <row r="61" spans="1:7" ht="15.75" x14ac:dyDescent="0.25">
      <c r="A61" s="12"/>
      <c r="B61" s="13"/>
      <c r="C61" s="14" t="s">
        <v>78</v>
      </c>
      <c r="D61" s="13"/>
      <c r="E61" s="154" t="s">
        <v>78</v>
      </c>
      <c r="F61" s="145"/>
      <c r="G61" s="153"/>
    </row>
    <row r="62" spans="1:7" ht="15.75" x14ac:dyDescent="0.25">
      <c r="A62" s="12" t="s">
        <v>159</v>
      </c>
      <c r="B62" s="13" t="s">
        <v>160</v>
      </c>
      <c r="C62" s="14" t="s">
        <v>75</v>
      </c>
      <c r="D62" s="13" t="s">
        <v>158</v>
      </c>
      <c r="E62" s="183">
        <v>13.5</v>
      </c>
      <c r="F62" s="177">
        <f>(1.732*0.92*6*375)/1000</f>
        <v>3.5852399999999998</v>
      </c>
      <c r="G62" s="195">
        <f>(F62+F63)/E62</f>
        <v>0.54601877333333326</v>
      </c>
    </row>
    <row r="63" spans="1:7" ht="15.75" x14ac:dyDescent="0.25">
      <c r="A63" s="12"/>
      <c r="B63" s="13"/>
      <c r="C63" s="14" t="s">
        <v>81</v>
      </c>
      <c r="D63" s="13" t="s">
        <v>158</v>
      </c>
      <c r="E63" s="185"/>
      <c r="F63" s="177">
        <f>(1.732*0.92*6*396)/1000</f>
        <v>3.7860134399999996</v>
      </c>
      <c r="G63" s="197"/>
    </row>
    <row r="64" spans="1:7" ht="15.75" x14ac:dyDescent="0.25">
      <c r="A64" s="12"/>
      <c r="B64" s="13"/>
      <c r="C64" s="14" t="s">
        <v>78</v>
      </c>
      <c r="D64" s="13"/>
      <c r="E64" s="145" t="s">
        <v>78</v>
      </c>
      <c r="F64" s="145"/>
      <c r="G64" s="152"/>
    </row>
    <row r="65" spans="1:7" ht="15.75" x14ac:dyDescent="0.25">
      <c r="A65" s="12" t="s">
        <v>161</v>
      </c>
      <c r="B65" s="13" t="s">
        <v>162</v>
      </c>
      <c r="C65" s="14" t="s">
        <v>75</v>
      </c>
      <c r="D65" s="13" t="s">
        <v>163</v>
      </c>
      <c r="E65" s="5">
        <v>2.7</v>
      </c>
      <c r="F65" s="177">
        <f>(1.732*0.92*6*98)/1000</f>
        <v>0.9369427199999999</v>
      </c>
      <c r="G65" s="147">
        <f>F65/E65</f>
        <v>0.34701582222222216</v>
      </c>
    </row>
    <row r="66" spans="1:7" ht="15.75" x14ac:dyDescent="0.25">
      <c r="A66" s="12"/>
      <c r="B66" s="13"/>
      <c r="C66" s="14" t="s">
        <v>78</v>
      </c>
      <c r="D66" s="13"/>
      <c r="E66" s="145" t="s">
        <v>78</v>
      </c>
      <c r="F66" s="145"/>
      <c r="G66" s="152"/>
    </row>
    <row r="67" spans="1:7" ht="15.75" x14ac:dyDescent="0.25">
      <c r="A67" s="12" t="s">
        <v>164</v>
      </c>
      <c r="B67" s="13" t="s">
        <v>165</v>
      </c>
      <c r="C67" s="14" t="s">
        <v>75</v>
      </c>
      <c r="D67" s="13" t="s">
        <v>166</v>
      </c>
      <c r="E67" s="5">
        <v>0.8</v>
      </c>
      <c r="F67" s="177">
        <f>(1.732*0.92*6*37)/1000</f>
        <v>0.35374368</v>
      </c>
      <c r="G67" s="147">
        <f>F67/E67</f>
        <v>0.44217960000000001</v>
      </c>
    </row>
    <row r="68" spans="1:7" ht="15.75" x14ac:dyDescent="0.25">
      <c r="A68" s="12"/>
      <c r="B68" s="13"/>
      <c r="C68" s="14" t="s">
        <v>78</v>
      </c>
      <c r="D68" s="13"/>
      <c r="E68" s="145" t="s">
        <v>78</v>
      </c>
      <c r="F68" s="145"/>
      <c r="G68" s="152"/>
    </row>
    <row r="69" spans="1:7" ht="17.25" customHeight="1" x14ac:dyDescent="0.25">
      <c r="A69" s="12" t="s">
        <v>167</v>
      </c>
      <c r="B69" s="13" t="s">
        <v>168</v>
      </c>
      <c r="C69" s="14" t="s">
        <v>75</v>
      </c>
      <c r="D69" s="13" t="s">
        <v>166</v>
      </c>
      <c r="E69" s="183">
        <v>0.8</v>
      </c>
      <c r="F69" s="177">
        <v>0</v>
      </c>
      <c r="G69" s="204">
        <f>(F69+F70)/E69</f>
        <v>1.9918000000000002E-2</v>
      </c>
    </row>
    <row r="70" spans="1:7" ht="16.5" customHeight="1" x14ac:dyDescent="0.25">
      <c r="A70" s="110"/>
      <c r="B70" s="111"/>
      <c r="C70" s="145" t="s">
        <v>309</v>
      </c>
      <c r="D70" s="13" t="s">
        <v>166</v>
      </c>
      <c r="E70" s="185"/>
      <c r="F70" s="177">
        <f>(1.732*0.92*10*1)/1000</f>
        <v>1.5934400000000001E-2</v>
      </c>
      <c r="G70" s="202"/>
    </row>
    <row r="71" spans="1:7" ht="15.75" x14ac:dyDescent="0.25">
      <c r="A71" s="110"/>
      <c r="B71" s="111"/>
      <c r="C71" s="146"/>
      <c r="D71" s="111"/>
      <c r="E71" s="146"/>
      <c r="F71" s="146"/>
      <c r="G71" s="155"/>
    </row>
    <row r="72" spans="1:7" ht="18.75" customHeight="1" thickBot="1" x14ac:dyDescent="0.3">
      <c r="A72" s="112" t="s">
        <v>169</v>
      </c>
      <c r="B72" s="104" t="s">
        <v>170</v>
      </c>
      <c r="C72" s="113" t="s">
        <v>75</v>
      </c>
      <c r="D72" s="104" t="s">
        <v>166</v>
      </c>
      <c r="E72" s="5">
        <v>0.8</v>
      </c>
      <c r="F72" s="177">
        <f>(1.732*0.92*10*1)/1000</f>
        <v>1.5934400000000001E-2</v>
      </c>
      <c r="G72" s="156">
        <f>F72/E72</f>
        <v>1.9918000000000002E-2</v>
      </c>
    </row>
    <row r="73" spans="1:7" ht="15.75" x14ac:dyDescent="0.25">
      <c r="A73" s="23"/>
      <c r="B73" s="23"/>
      <c r="C73" s="23"/>
      <c r="D73" s="114">
        <v>838.4</v>
      </c>
      <c r="E73" s="162"/>
      <c r="F73" s="163"/>
      <c r="G73" s="158"/>
    </row>
    <row r="74" spans="1:7" ht="15.75" x14ac:dyDescent="0.25">
      <c r="A74" s="23"/>
      <c r="B74" s="23"/>
      <c r="C74" s="23"/>
      <c r="D74" s="23"/>
      <c r="E74" s="157"/>
      <c r="F74" s="175"/>
      <c r="G74" s="158"/>
    </row>
    <row r="75" spans="1:7" ht="16.5" thickBot="1" x14ac:dyDescent="0.3">
      <c r="A75" s="23"/>
      <c r="B75" s="23"/>
      <c r="C75" s="24"/>
      <c r="D75" s="23"/>
      <c r="E75" s="157"/>
      <c r="F75" s="157"/>
      <c r="G75" s="158"/>
    </row>
    <row r="76" spans="1:7" ht="15.75" x14ac:dyDescent="0.25">
      <c r="A76" s="106" t="s">
        <v>171</v>
      </c>
      <c r="B76" s="101" t="s">
        <v>172</v>
      </c>
      <c r="C76" s="102" t="s">
        <v>75</v>
      </c>
      <c r="D76" s="101" t="s">
        <v>131</v>
      </c>
      <c r="E76" s="206">
        <v>34</v>
      </c>
      <c r="F76" s="186">
        <f>(1.732*0.85*110*105)/1000</f>
        <v>17.003910000000001</v>
      </c>
      <c r="G76" s="205">
        <f>((F76+F79)/E76)</f>
        <v>1.0764380000000002</v>
      </c>
    </row>
    <row r="77" spans="1:7" ht="15.75" x14ac:dyDescent="0.25">
      <c r="A77" s="12"/>
      <c r="B77" s="13"/>
      <c r="C77" s="14" t="s">
        <v>78</v>
      </c>
      <c r="D77" s="13"/>
      <c r="E77" s="207"/>
      <c r="F77" s="187"/>
      <c r="G77" s="196"/>
    </row>
    <row r="78" spans="1:7" ht="15.75" x14ac:dyDescent="0.25">
      <c r="A78" s="12"/>
      <c r="B78" s="13"/>
      <c r="C78" s="14" t="s">
        <v>78</v>
      </c>
      <c r="D78" s="13"/>
      <c r="E78" s="208"/>
      <c r="F78" s="188"/>
      <c r="G78" s="196"/>
    </row>
    <row r="79" spans="1:7" ht="15.75" x14ac:dyDescent="0.25">
      <c r="A79" s="12"/>
      <c r="B79" s="13"/>
      <c r="C79" s="14" t="s">
        <v>81</v>
      </c>
      <c r="D79" s="13" t="s">
        <v>131</v>
      </c>
      <c r="E79" s="183">
        <v>34</v>
      </c>
      <c r="F79" s="186">
        <f>(1.732*0.85*110*121)/1000</f>
        <v>19.594982000000002</v>
      </c>
      <c r="G79" s="196"/>
    </row>
    <row r="80" spans="1:7" ht="15.75" x14ac:dyDescent="0.25">
      <c r="A80" s="12"/>
      <c r="B80" s="13"/>
      <c r="C80" s="14" t="s">
        <v>78</v>
      </c>
      <c r="D80" s="13"/>
      <c r="E80" s="184"/>
      <c r="F80" s="187"/>
      <c r="G80" s="196"/>
    </row>
    <row r="81" spans="1:7" ht="15.75" x14ac:dyDescent="0.25">
      <c r="A81" s="12"/>
      <c r="B81" s="13"/>
      <c r="C81" s="14" t="s">
        <v>78</v>
      </c>
      <c r="D81" s="13"/>
      <c r="E81" s="185"/>
      <c r="F81" s="188"/>
      <c r="G81" s="197"/>
    </row>
    <row r="82" spans="1:7" ht="15.75" x14ac:dyDescent="0.25">
      <c r="A82" s="12"/>
      <c r="B82" s="46"/>
      <c r="C82" s="18" t="s">
        <v>78</v>
      </c>
      <c r="D82" s="46"/>
      <c r="E82" s="149" t="s">
        <v>78</v>
      </c>
      <c r="F82" s="154"/>
      <c r="G82" s="153"/>
    </row>
    <row r="83" spans="1:7" ht="15.75" x14ac:dyDescent="0.25">
      <c r="A83" s="12" t="s">
        <v>173</v>
      </c>
      <c r="B83" s="46" t="s">
        <v>174</v>
      </c>
      <c r="C83" s="18" t="s">
        <v>175</v>
      </c>
      <c r="D83" s="46" t="s">
        <v>176</v>
      </c>
      <c r="E83" s="183">
        <v>13.5</v>
      </c>
      <c r="F83" s="186">
        <f>(1.732*0.85*110*32)/1000</f>
        <v>5.1821440000000001</v>
      </c>
      <c r="G83" s="195">
        <f>((F83+F86)/E83)</f>
        <v>0.56379807407407412</v>
      </c>
    </row>
    <row r="84" spans="1:7" ht="15.75" x14ac:dyDescent="0.25">
      <c r="A84" s="12"/>
      <c r="B84" s="13"/>
      <c r="C84" s="14" t="s">
        <v>78</v>
      </c>
      <c r="D84" s="13"/>
      <c r="E84" s="184"/>
      <c r="F84" s="187"/>
      <c r="G84" s="196"/>
    </row>
    <row r="85" spans="1:7" ht="18" customHeight="1" x14ac:dyDescent="0.25">
      <c r="A85" s="12"/>
      <c r="B85" s="13"/>
      <c r="C85" s="14" t="s">
        <v>78</v>
      </c>
      <c r="D85" s="13"/>
      <c r="E85" s="185"/>
      <c r="F85" s="188"/>
      <c r="G85" s="196"/>
    </row>
    <row r="86" spans="1:7" ht="15.75" x14ac:dyDescent="0.25">
      <c r="A86" s="12"/>
      <c r="B86" s="13"/>
      <c r="C86" s="14" t="s">
        <v>81</v>
      </c>
      <c r="D86" s="13" t="s">
        <v>176</v>
      </c>
      <c r="E86" s="183">
        <v>13.5</v>
      </c>
      <c r="F86" s="192">
        <f>(1.732*0.85*110*15)/1000</f>
        <v>2.4291300000000002</v>
      </c>
      <c r="G86" s="196"/>
    </row>
    <row r="87" spans="1:7" ht="15.75" x14ac:dyDescent="0.25">
      <c r="A87" s="12"/>
      <c r="B87" s="13"/>
      <c r="C87" s="14" t="s">
        <v>78</v>
      </c>
      <c r="D87" s="13"/>
      <c r="E87" s="184"/>
      <c r="F87" s="193"/>
      <c r="G87" s="196"/>
    </row>
    <row r="88" spans="1:7" ht="15.75" x14ac:dyDescent="0.25">
      <c r="A88" s="12"/>
      <c r="B88" s="13"/>
      <c r="C88" s="14" t="s">
        <v>78</v>
      </c>
      <c r="D88" s="13"/>
      <c r="E88" s="185"/>
      <c r="F88" s="194"/>
      <c r="G88" s="197"/>
    </row>
    <row r="89" spans="1:7" ht="15.75" x14ac:dyDescent="0.25">
      <c r="A89" s="115"/>
      <c r="B89" s="116"/>
      <c r="C89" s="117" t="s">
        <v>78</v>
      </c>
      <c r="D89" s="116"/>
      <c r="E89" s="159" t="s">
        <v>78</v>
      </c>
      <c r="F89" s="159"/>
      <c r="G89" s="155"/>
    </row>
    <row r="90" spans="1:7" ht="15.75" x14ac:dyDescent="0.25">
      <c r="A90" s="12" t="s">
        <v>177</v>
      </c>
      <c r="B90" s="13" t="s">
        <v>178</v>
      </c>
      <c r="C90" s="14" t="s">
        <v>75</v>
      </c>
      <c r="D90" s="13" t="s">
        <v>179</v>
      </c>
      <c r="E90" s="183">
        <v>8.5</v>
      </c>
      <c r="F90" s="177">
        <f>(1.732*0.92*6*414)/1000</f>
        <v>3.9581049599999996</v>
      </c>
      <c r="G90" s="189">
        <f>((F90+F91)/E90)</f>
        <v>0.78622204235294102</v>
      </c>
    </row>
    <row r="91" spans="1:7" ht="15.75" x14ac:dyDescent="0.25">
      <c r="A91" s="12"/>
      <c r="B91" s="13"/>
      <c r="C91" s="14" t="s">
        <v>81</v>
      </c>
      <c r="D91" s="13" t="s">
        <v>179</v>
      </c>
      <c r="E91" s="185"/>
      <c r="F91" s="177">
        <f>(1.732*0.92*6*285)/1000</f>
        <v>2.7247823999999996</v>
      </c>
      <c r="G91" s="191"/>
    </row>
    <row r="92" spans="1:7" ht="15.75" x14ac:dyDescent="0.25">
      <c r="A92" s="118"/>
      <c r="B92" s="119"/>
      <c r="C92" s="120" t="s">
        <v>78</v>
      </c>
      <c r="D92" s="119"/>
      <c r="E92" s="160" t="s">
        <v>78</v>
      </c>
      <c r="F92" s="160"/>
      <c r="G92" s="161"/>
    </row>
    <row r="93" spans="1:7" ht="15.75" x14ac:dyDescent="0.25">
      <c r="A93" s="12" t="s">
        <v>180</v>
      </c>
      <c r="B93" s="13" t="s">
        <v>181</v>
      </c>
      <c r="C93" s="14" t="s">
        <v>75</v>
      </c>
      <c r="D93" s="13" t="s">
        <v>179</v>
      </c>
      <c r="E93" s="183">
        <v>8.5</v>
      </c>
      <c r="F93" s="177">
        <f>(1.732*0.92*6*483)/1000</f>
        <v>4.6177891199999994</v>
      </c>
      <c r="G93" s="195">
        <f>((F93+F94)/E93)</f>
        <v>1.1315298635294118</v>
      </c>
    </row>
    <row r="94" spans="1:7" ht="15.75" x14ac:dyDescent="0.25">
      <c r="A94" s="12"/>
      <c r="B94" s="13"/>
      <c r="C94" s="14" t="s">
        <v>81</v>
      </c>
      <c r="D94" s="13" t="s">
        <v>179</v>
      </c>
      <c r="E94" s="185"/>
      <c r="F94" s="177">
        <f>(1.732*0.92*6*523)/1000</f>
        <v>5.0002147199999998</v>
      </c>
      <c r="G94" s="197"/>
    </row>
    <row r="95" spans="1:7" ht="15.75" x14ac:dyDescent="0.25">
      <c r="A95" s="12"/>
      <c r="B95" s="46"/>
      <c r="C95" s="18" t="s">
        <v>78</v>
      </c>
      <c r="D95" s="46"/>
      <c r="E95" s="149" t="s">
        <v>78</v>
      </c>
      <c r="F95" s="149"/>
      <c r="G95" s="153"/>
    </row>
    <row r="96" spans="1:7" ht="15.75" x14ac:dyDescent="0.25">
      <c r="A96" s="12" t="s">
        <v>182</v>
      </c>
      <c r="B96" s="13" t="s">
        <v>183</v>
      </c>
      <c r="C96" s="14" t="s">
        <v>75</v>
      </c>
      <c r="D96" s="13" t="s">
        <v>184</v>
      </c>
      <c r="E96" s="183">
        <v>5.3</v>
      </c>
      <c r="F96" s="177">
        <f>(1.732*0.92*6*187)/1000</f>
        <v>1.7878396799999998</v>
      </c>
      <c r="G96" s="189">
        <f>((F96+F97)/E96)</f>
        <v>0.71253826415094335</v>
      </c>
    </row>
    <row r="97" spans="1:7" ht="15.75" x14ac:dyDescent="0.25">
      <c r="A97" s="12"/>
      <c r="B97" s="13"/>
      <c r="C97" s="14" t="s">
        <v>81</v>
      </c>
      <c r="D97" s="13" t="s">
        <v>184</v>
      </c>
      <c r="E97" s="185"/>
      <c r="F97" s="177">
        <f>(1.732*0.92*6*208)/1000</f>
        <v>1.9886131199999999</v>
      </c>
      <c r="G97" s="191"/>
    </row>
    <row r="98" spans="1:7" ht="15.75" x14ac:dyDescent="0.25">
      <c r="A98" s="12"/>
      <c r="B98" s="46"/>
      <c r="C98" s="18" t="s">
        <v>78</v>
      </c>
      <c r="D98" s="46"/>
      <c r="E98" s="149" t="s">
        <v>78</v>
      </c>
      <c r="F98" s="149"/>
      <c r="G98" s="153"/>
    </row>
    <row r="99" spans="1:7" ht="15.75" x14ac:dyDescent="0.25">
      <c r="A99" s="12" t="s">
        <v>185</v>
      </c>
      <c r="B99" s="13" t="s">
        <v>186</v>
      </c>
      <c r="C99" s="14" t="s">
        <v>75</v>
      </c>
      <c r="D99" s="13" t="s">
        <v>184</v>
      </c>
      <c r="E99" s="183">
        <v>5.3</v>
      </c>
      <c r="F99" s="177">
        <f>(1.732*0.92*6*178)/1000</f>
        <v>1.7017939199999998</v>
      </c>
      <c r="G99" s="204">
        <f>((F99+F100)/E99)</f>
        <v>0.81716413584905656</v>
      </c>
    </row>
    <row r="100" spans="1:7" ht="15.75" x14ac:dyDescent="0.25">
      <c r="A100" s="12"/>
      <c r="B100" s="13"/>
      <c r="C100" s="14" t="s">
        <v>81</v>
      </c>
      <c r="D100" s="13" t="s">
        <v>187</v>
      </c>
      <c r="E100" s="185"/>
      <c r="F100" s="177">
        <f>(1.732*0.92*6*275)/1000</f>
        <v>2.6291759999999997</v>
      </c>
      <c r="G100" s="202"/>
    </row>
    <row r="101" spans="1:7" ht="15.75" x14ac:dyDescent="0.25">
      <c r="A101" s="12"/>
      <c r="B101" s="46"/>
      <c r="C101" s="18" t="s">
        <v>78</v>
      </c>
      <c r="D101" s="46"/>
      <c r="E101" s="149" t="s">
        <v>78</v>
      </c>
      <c r="F101" s="149"/>
      <c r="G101" s="153"/>
    </row>
    <row r="102" spans="1:7" ht="15.75" x14ac:dyDescent="0.25">
      <c r="A102" s="12" t="s">
        <v>188</v>
      </c>
      <c r="B102" s="13" t="s">
        <v>189</v>
      </c>
      <c r="C102" s="14" t="s">
        <v>75</v>
      </c>
      <c r="D102" s="13" t="s">
        <v>190</v>
      </c>
      <c r="E102" s="183">
        <v>5.3</v>
      </c>
      <c r="F102" s="177">
        <f>(1.732*0.92*6*1)/1000</f>
        <v>9.5606399999999987E-3</v>
      </c>
      <c r="G102" s="189">
        <f>((F102+F103)/E102)</f>
        <v>3.7881781132075472E-2</v>
      </c>
    </row>
    <row r="103" spans="1:7" ht="15.75" x14ac:dyDescent="0.25">
      <c r="A103" s="12"/>
      <c r="B103" s="13"/>
      <c r="C103" s="14" t="s">
        <v>81</v>
      </c>
      <c r="D103" s="13" t="s">
        <v>190</v>
      </c>
      <c r="E103" s="185"/>
      <c r="F103" s="177">
        <f>(1.732*0.92*6*20)/1000</f>
        <v>0.19121279999999999</v>
      </c>
      <c r="G103" s="191"/>
    </row>
    <row r="104" spans="1:7" ht="15.75" x14ac:dyDescent="0.25">
      <c r="A104" s="12"/>
      <c r="B104" s="46"/>
      <c r="C104" s="18" t="s">
        <v>78</v>
      </c>
      <c r="D104" s="46"/>
      <c r="E104" s="149" t="s">
        <v>78</v>
      </c>
      <c r="F104" s="149"/>
      <c r="G104" s="153"/>
    </row>
    <row r="105" spans="1:7" ht="15.75" x14ac:dyDescent="0.25">
      <c r="A105" s="12" t="s">
        <v>191</v>
      </c>
      <c r="B105" s="13" t="s">
        <v>192</v>
      </c>
      <c r="C105" s="14" t="s">
        <v>75</v>
      </c>
      <c r="D105" s="13" t="s">
        <v>193</v>
      </c>
      <c r="E105" s="183">
        <v>3.4</v>
      </c>
      <c r="F105" s="177">
        <f>(1.732*0.92*6*0)/1000</f>
        <v>0</v>
      </c>
      <c r="G105" s="189">
        <f>((F105+F106)/E105)</f>
        <v>0.32618654117647056</v>
      </c>
    </row>
    <row r="106" spans="1:7" ht="15.75" x14ac:dyDescent="0.25">
      <c r="A106" s="12"/>
      <c r="B106" s="13"/>
      <c r="C106" s="14" t="s">
        <v>81</v>
      </c>
      <c r="D106" s="13" t="s">
        <v>193</v>
      </c>
      <c r="E106" s="185"/>
      <c r="F106" s="177">
        <f>(1.732*0.92*6*116)/1000</f>
        <v>1.1090342399999999</v>
      </c>
      <c r="G106" s="191"/>
    </row>
    <row r="107" spans="1:7" ht="15.75" x14ac:dyDescent="0.25">
      <c r="A107" s="12"/>
      <c r="B107" s="46"/>
      <c r="C107" s="18" t="s">
        <v>78</v>
      </c>
      <c r="D107" s="46"/>
      <c r="E107" s="149" t="s">
        <v>78</v>
      </c>
      <c r="F107" s="149"/>
      <c r="G107" s="153"/>
    </row>
    <row r="108" spans="1:7" ht="15.75" x14ac:dyDescent="0.25">
      <c r="A108" s="12" t="s">
        <v>194</v>
      </c>
      <c r="B108" s="13" t="s">
        <v>195</v>
      </c>
      <c r="C108" s="14" t="s">
        <v>75</v>
      </c>
      <c r="D108" s="13" t="s">
        <v>196</v>
      </c>
      <c r="E108" s="183">
        <v>3.4</v>
      </c>
      <c r="F108" s="177">
        <f>(1.732*0.92*6*185)/1000</f>
        <v>1.7687184</v>
      </c>
      <c r="G108" s="189">
        <f>((F108+F109)/E108)</f>
        <v>0.77328705882352944</v>
      </c>
    </row>
    <row r="109" spans="1:7" ht="15.75" x14ac:dyDescent="0.25">
      <c r="A109" s="12"/>
      <c r="B109" s="13"/>
      <c r="C109" s="14" t="s">
        <v>81</v>
      </c>
      <c r="D109" s="13" t="s">
        <v>196</v>
      </c>
      <c r="E109" s="185"/>
      <c r="F109" s="177">
        <f>(1.732*0.92*6*90)/1000</f>
        <v>0.86045759999999993</v>
      </c>
      <c r="G109" s="191"/>
    </row>
    <row r="110" spans="1:7" ht="15.75" x14ac:dyDescent="0.25">
      <c r="A110" s="12"/>
      <c r="B110" s="46"/>
      <c r="C110" s="18" t="s">
        <v>78</v>
      </c>
      <c r="D110" s="46"/>
      <c r="E110" s="149" t="s">
        <v>78</v>
      </c>
      <c r="F110" s="149"/>
      <c r="G110" s="153"/>
    </row>
    <row r="111" spans="1:7" ht="15.75" x14ac:dyDescent="0.25">
      <c r="A111" s="12" t="s">
        <v>197</v>
      </c>
      <c r="B111" s="46" t="s">
        <v>198</v>
      </c>
      <c r="C111" s="18" t="s">
        <v>75</v>
      </c>
      <c r="D111" s="46" t="s">
        <v>199</v>
      </c>
      <c r="E111" s="183">
        <v>34</v>
      </c>
      <c r="F111" s="210">
        <f>(1.732*0.85*110*15)/1000</f>
        <v>2.4291300000000002</v>
      </c>
      <c r="G111" s="189">
        <f>(F111+F115)/E111</f>
        <v>0.11431200000000001</v>
      </c>
    </row>
    <row r="112" spans="1:7" ht="15.75" x14ac:dyDescent="0.25">
      <c r="A112" s="12"/>
      <c r="B112" s="46"/>
      <c r="C112" s="18"/>
      <c r="D112" s="46"/>
      <c r="E112" s="184"/>
      <c r="F112" s="211"/>
      <c r="G112" s="190"/>
    </row>
    <row r="113" spans="1:7" ht="15.75" x14ac:dyDescent="0.25">
      <c r="A113" s="12"/>
      <c r="B113" s="46"/>
      <c r="C113" s="14" t="s">
        <v>135</v>
      </c>
      <c r="D113" s="13"/>
      <c r="E113" s="184"/>
      <c r="F113" s="211"/>
      <c r="G113" s="190"/>
    </row>
    <row r="114" spans="1:7" ht="15.75" x14ac:dyDescent="0.25">
      <c r="A114" s="12"/>
      <c r="B114" s="46"/>
      <c r="C114" s="14" t="s">
        <v>137</v>
      </c>
      <c r="D114" s="13"/>
      <c r="E114" s="184"/>
      <c r="F114" s="212"/>
      <c r="G114" s="190"/>
    </row>
    <row r="115" spans="1:7" ht="15.75" x14ac:dyDescent="0.25">
      <c r="A115" s="12"/>
      <c r="B115" s="46"/>
      <c r="C115" s="14" t="s">
        <v>81</v>
      </c>
      <c r="D115" s="46" t="s">
        <v>199</v>
      </c>
      <c r="E115" s="184"/>
      <c r="F115" s="210">
        <f>(1.732*0.85*110*9)/1000</f>
        <v>1.4574780000000001</v>
      </c>
      <c r="G115" s="190"/>
    </row>
    <row r="116" spans="1:7" ht="15.75" x14ac:dyDescent="0.25">
      <c r="A116" s="12"/>
      <c r="B116" s="46"/>
      <c r="C116" s="14"/>
      <c r="D116" s="46"/>
      <c r="E116" s="184"/>
      <c r="F116" s="211"/>
      <c r="G116" s="190"/>
    </row>
    <row r="117" spans="1:7" ht="15.75" x14ac:dyDescent="0.25">
      <c r="A117" s="12"/>
      <c r="B117" s="46"/>
      <c r="C117" s="14" t="s">
        <v>136</v>
      </c>
      <c r="D117" s="13"/>
      <c r="E117" s="184"/>
      <c r="F117" s="211"/>
      <c r="G117" s="190"/>
    </row>
    <row r="118" spans="1:7" ht="16.5" thickBot="1" x14ac:dyDescent="0.3">
      <c r="A118" s="112"/>
      <c r="B118" s="121"/>
      <c r="C118" s="113" t="s">
        <v>138</v>
      </c>
      <c r="D118" s="13"/>
      <c r="E118" s="185"/>
      <c r="F118" s="212"/>
      <c r="G118" s="213"/>
    </row>
    <row r="119" spans="1:7" ht="15.75" x14ac:dyDescent="0.25">
      <c r="A119" s="22"/>
      <c r="B119" s="23"/>
      <c r="C119" s="24"/>
      <c r="D119" s="114">
        <v>157</v>
      </c>
      <c r="E119" s="162"/>
      <c r="F119" s="163"/>
      <c r="G119" s="164"/>
    </row>
    <row r="120" spans="1:7" ht="16.5" thickBot="1" x14ac:dyDescent="0.3">
      <c r="A120" s="22"/>
      <c r="B120" s="23"/>
      <c r="C120" s="24"/>
      <c r="D120" s="114"/>
      <c r="E120" s="162"/>
      <c r="F120" s="163"/>
      <c r="G120" s="164"/>
    </row>
    <row r="121" spans="1:7" ht="15.75" x14ac:dyDescent="0.25">
      <c r="A121" s="106" t="s">
        <v>200</v>
      </c>
      <c r="B121" s="122" t="s">
        <v>201</v>
      </c>
      <c r="C121" s="123" t="s">
        <v>75</v>
      </c>
      <c r="D121" s="101" t="s">
        <v>76</v>
      </c>
      <c r="E121" s="183">
        <v>21.3</v>
      </c>
      <c r="F121" s="186">
        <f>(1.732*0.85*110*43)/1000</f>
        <v>6.9635060000000006</v>
      </c>
      <c r="G121" s="209">
        <f>((F121+F124)/E121)</f>
        <v>0.62343868544600944</v>
      </c>
    </row>
    <row r="122" spans="1:7" ht="15.75" x14ac:dyDescent="0.25">
      <c r="A122" s="12"/>
      <c r="B122" s="46"/>
      <c r="C122" s="18"/>
      <c r="D122" s="13"/>
      <c r="E122" s="184"/>
      <c r="F122" s="187"/>
      <c r="G122" s="190"/>
    </row>
    <row r="123" spans="1:7" ht="15.75" x14ac:dyDescent="0.25">
      <c r="A123" s="12"/>
      <c r="B123" s="46"/>
      <c r="C123" s="18"/>
      <c r="D123" s="13"/>
      <c r="E123" s="184"/>
      <c r="F123" s="188"/>
      <c r="G123" s="190"/>
    </row>
    <row r="124" spans="1:7" ht="15.75" x14ac:dyDescent="0.25">
      <c r="A124" s="12"/>
      <c r="B124" s="46"/>
      <c r="C124" s="18" t="s">
        <v>81</v>
      </c>
      <c r="D124" s="13" t="s">
        <v>76</v>
      </c>
      <c r="E124" s="184"/>
      <c r="F124" s="186">
        <f>(1.732*0.85*110*39)/1000</f>
        <v>6.3157380000000005</v>
      </c>
      <c r="G124" s="190"/>
    </row>
    <row r="125" spans="1:7" ht="15.75" x14ac:dyDescent="0.25">
      <c r="A125" s="12"/>
      <c r="B125" s="46"/>
      <c r="C125" s="18"/>
      <c r="D125" s="13"/>
      <c r="E125" s="184"/>
      <c r="F125" s="187"/>
      <c r="G125" s="190"/>
    </row>
    <row r="126" spans="1:7" ht="15.75" x14ac:dyDescent="0.25">
      <c r="A126" s="12"/>
      <c r="B126" s="46"/>
      <c r="C126" s="18"/>
      <c r="D126" s="13"/>
      <c r="E126" s="185"/>
      <c r="F126" s="188"/>
      <c r="G126" s="191"/>
    </row>
    <row r="127" spans="1:7" ht="15.75" x14ac:dyDescent="0.25">
      <c r="A127" s="12"/>
      <c r="B127" s="46"/>
      <c r="C127" s="18" t="s">
        <v>78</v>
      </c>
      <c r="D127" s="46"/>
      <c r="E127" s="149" t="s">
        <v>78</v>
      </c>
      <c r="F127" s="165"/>
      <c r="G127" s="153"/>
    </row>
    <row r="128" spans="1:7" ht="16.5" customHeight="1" x14ac:dyDescent="0.25">
      <c r="A128" s="12" t="s">
        <v>202</v>
      </c>
      <c r="B128" s="46" t="s">
        <v>203</v>
      </c>
      <c r="C128" s="18" t="s">
        <v>75</v>
      </c>
      <c r="D128" s="46" t="s">
        <v>146</v>
      </c>
      <c r="E128" s="183">
        <v>8.5</v>
      </c>
      <c r="F128" s="177">
        <f>(1.732*0.92*6*8)/1000</f>
        <v>7.648511999999999E-2</v>
      </c>
      <c r="G128" s="189">
        <f>((F128+F129)/E128)</f>
        <v>5.1739934117647053E-2</v>
      </c>
    </row>
    <row r="129" spans="1:7" ht="15.75" x14ac:dyDescent="0.25">
      <c r="A129" s="12"/>
      <c r="B129" s="46"/>
      <c r="C129" s="18" t="s">
        <v>81</v>
      </c>
      <c r="D129" s="46" t="s">
        <v>146</v>
      </c>
      <c r="E129" s="185"/>
      <c r="F129" s="177">
        <f>(1.732*0.92*6*38)/1000</f>
        <v>0.36330431999999996</v>
      </c>
      <c r="G129" s="191"/>
    </row>
    <row r="130" spans="1:7" ht="15.75" x14ac:dyDescent="0.25">
      <c r="A130" s="12"/>
      <c r="B130" s="46"/>
      <c r="C130" s="18" t="s">
        <v>78</v>
      </c>
      <c r="D130" s="46"/>
      <c r="E130" s="149" t="s">
        <v>78</v>
      </c>
      <c r="F130" s="149"/>
      <c r="G130" s="153"/>
    </row>
    <row r="131" spans="1:7" ht="18" customHeight="1" x14ac:dyDescent="0.25">
      <c r="A131" s="12" t="s">
        <v>204</v>
      </c>
      <c r="B131" s="46" t="s">
        <v>205</v>
      </c>
      <c r="C131" s="18" t="s">
        <v>75</v>
      </c>
      <c r="D131" s="46" t="s">
        <v>206</v>
      </c>
      <c r="E131" s="220">
        <v>5.4</v>
      </c>
      <c r="F131" s="177">
        <v>0</v>
      </c>
      <c r="G131" s="189">
        <f>((F131+F132)/E131)</f>
        <v>0.10327851851851851</v>
      </c>
    </row>
    <row r="132" spans="1:7" ht="15.75" x14ac:dyDescent="0.25">
      <c r="A132" s="12"/>
      <c r="B132" s="46"/>
      <c r="C132" s="18" t="s">
        <v>81</v>
      </c>
      <c r="D132" s="46" t="s">
        <v>206</v>
      </c>
      <c r="E132" s="222"/>
      <c r="F132" s="177">
        <f>(1.732*0.92*10*35)/1000</f>
        <v>0.55770399999999998</v>
      </c>
      <c r="G132" s="191"/>
    </row>
    <row r="133" spans="1:7" ht="15.75" x14ac:dyDescent="0.25">
      <c r="A133" s="12"/>
      <c r="B133" s="46"/>
      <c r="C133" s="18" t="s">
        <v>78</v>
      </c>
      <c r="D133" s="46"/>
      <c r="E133" s="149" t="s">
        <v>78</v>
      </c>
      <c r="F133" s="149"/>
      <c r="G133" s="153"/>
    </row>
    <row r="134" spans="1:7" ht="15.75" x14ac:dyDescent="0.25">
      <c r="A134" s="107" t="s">
        <v>207</v>
      </c>
      <c r="B134" s="108" t="s">
        <v>208</v>
      </c>
      <c r="C134" s="109" t="s">
        <v>75</v>
      </c>
      <c r="D134" s="108" t="s">
        <v>146</v>
      </c>
      <c r="E134" s="223">
        <v>8.5</v>
      </c>
      <c r="F134" s="177">
        <f>(1.732*0.92*6*333)/1000</f>
        <v>3.18369312</v>
      </c>
      <c r="G134" s="195">
        <f>((F134+F135)/E134)</f>
        <v>0.63437658352941184</v>
      </c>
    </row>
    <row r="135" spans="1:7" ht="16.5" thickBot="1" x14ac:dyDescent="0.3">
      <c r="A135" s="124"/>
      <c r="B135" s="125"/>
      <c r="C135" s="126" t="s">
        <v>81</v>
      </c>
      <c r="D135" s="108" t="s">
        <v>146</v>
      </c>
      <c r="E135" s="224"/>
      <c r="F135" s="177">
        <f>(1.732*0.92*6*231)/1000</f>
        <v>2.2085078399999998</v>
      </c>
      <c r="G135" s="225"/>
    </row>
    <row r="136" spans="1:7" ht="15.75" x14ac:dyDescent="0.25">
      <c r="A136" s="115"/>
      <c r="B136" s="111"/>
      <c r="C136" s="127"/>
      <c r="D136" s="111"/>
      <c r="E136" s="146"/>
      <c r="F136" s="146"/>
      <c r="G136" s="155"/>
    </row>
    <row r="137" spans="1:7" ht="15.75" x14ac:dyDescent="0.25">
      <c r="A137" s="12" t="s">
        <v>209</v>
      </c>
      <c r="B137" s="46" t="s">
        <v>192</v>
      </c>
      <c r="C137" s="18" t="s">
        <v>75</v>
      </c>
      <c r="D137" s="13" t="s">
        <v>210</v>
      </c>
      <c r="E137" s="220">
        <v>3.4</v>
      </c>
      <c r="F137" s="177">
        <f>(1.732*0.92*6*110)/1000</f>
        <v>1.0516703999999999</v>
      </c>
      <c r="G137" s="189">
        <f>((F137+F138)/E137)</f>
        <v>0.63268941176470583</v>
      </c>
    </row>
    <row r="138" spans="1:7" ht="16.5" thickBot="1" x14ac:dyDescent="0.3">
      <c r="A138" s="112"/>
      <c r="B138" s="121"/>
      <c r="C138" s="128" t="s">
        <v>81</v>
      </c>
      <c r="D138" s="104" t="s">
        <v>211</v>
      </c>
      <c r="E138" s="226"/>
      <c r="F138" s="177">
        <f>(1.732*0.92*6*115)/1000</f>
        <v>1.0994736000000001</v>
      </c>
      <c r="G138" s="213"/>
    </row>
    <row r="139" spans="1:7" ht="15.75" x14ac:dyDescent="0.25">
      <c r="A139" s="22"/>
      <c r="B139" s="23"/>
      <c r="C139" s="24"/>
      <c r="D139" s="23"/>
      <c r="E139" s="157"/>
      <c r="F139" s="157"/>
      <c r="G139" s="164"/>
    </row>
    <row r="140" spans="1:7" ht="16.5" thickBot="1" x14ac:dyDescent="0.3">
      <c r="A140" s="22"/>
      <c r="B140" s="23"/>
      <c r="C140" s="24"/>
      <c r="D140" s="23" t="s">
        <v>111</v>
      </c>
      <c r="E140" s="157"/>
      <c r="F140" s="157"/>
      <c r="G140" s="164"/>
    </row>
    <row r="141" spans="1:7" ht="15.75" x14ac:dyDescent="0.25">
      <c r="A141" s="106"/>
      <c r="B141" s="101"/>
      <c r="C141" s="102"/>
      <c r="D141" s="101"/>
      <c r="E141" s="166"/>
      <c r="F141" s="166"/>
      <c r="G141" s="167"/>
    </row>
    <row r="142" spans="1:7" ht="15.75" x14ac:dyDescent="0.25">
      <c r="A142" s="12" t="s">
        <v>212</v>
      </c>
      <c r="B142" s="13" t="s">
        <v>213</v>
      </c>
      <c r="C142" s="14" t="s">
        <v>75</v>
      </c>
      <c r="D142" s="46" t="s">
        <v>134</v>
      </c>
      <c r="E142" s="214">
        <v>21.3</v>
      </c>
      <c r="F142" s="186">
        <f>(1.732*0.85*110*7)/1000</f>
        <v>1.133594</v>
      </c>
      <c r="G142" s="217">
        <f>((F142+F145)/E142)</f>
        <v>0.15205821596244132</v>
      </c>
    </row>
    <row r="143" spans="1:7" ht="15.75" x14ac:dyDescent="0.25">
      <c r="A143" s="12"/>
      <c r="B143" s="13"/>
      <c r="C143" s="14" t="s">
        <v>135</v>
      </c>
      <c r="D143" s="46"/>
      <c r="E143" s="215"/>
      <c r="F143" s="187"/>
      <c r="G143" s="218"/>
    </row>
    <row r="144" spans="1:7" ht="15.75" x14ac:dyDescent="0.25">
      <c r="A144" s="12"/>
      <c r="B144" s="13"/>
      <c r="C144" s="14" t="s">
        <v>135</v>
      </c>
      <c r="D144" s="46"/>
      <c r="E144" s="215"/>
      <c r="F144" s="188"/>
      <c r="G144" s="218"/>
    </row>
    <row r="145" spans="1:7" ht="15.75" x14ac:dyDescent="0.25">
      <c r="A145" s="12"/>
      <c r="B145" s="46"/>
      <c r="C145" s="18" t="s">
        <v>81</v>
      </c>
      <c r="D145" s="46" t="s">
        <v>134</v>
      </c>
      <c r="E145" s="215"/>
      <c r="F145" s="186">
        <f>(1.732*0.85*110*13)/1000</f>
        <v>2.1052460000000002</v>
      </c>
      <c r="G145" s="218"/>
    </row>
    <row r="146" spans="1:7" ht="15.75" x14ac:dyDescent="0.25">
      <c r="A146" s="12"/>
      <c r="B146" s="46"/>
      <c r="C146" s="14" t="s">
        <v>136</v>
      </c>
      <c r="D146" s="46"/>
      <c r="E146" s="215"/>
      <c r="F146" s="187"/>
      <c r="G146" s="218"/>
    </row>
    <row r="147" spans="1:7" ht="15.75" x14ac:dyDescent="0.25">
      <c r="A147" s="12"/>
      <c r="B147" s="46"/>
      <c r="C147" s="14" t="s">
        <v>136</v>
      </c>
      <c r="D147" s="46"/>
      <c r="E147" s="216"/>
      <c r="F147" s="188"/>
      <c r="G147" s="219"/>
    </row>
    <row r="148" spans="1:7" ht="15.75" x14ac:dyDescent="0.25">
      <c r="A148" s="12"/>
      <c r="B148" s="46"/>
      <c r="C148" s="18" t="s">
        <v>78</v>
      </c>
      <c r="D148" s="46"/>
      <c r="E148" s="149" t="s">
        <v>78</v>
      </c>
      <c r="F148" s="149"/>
      <c r="G148" s="153"/>
    </row>
    <row r="149" spans="1:7" ht="15.75" x14ac:dyDescent="0.25">
      <c r="A149" s="12" t="s">
        <v>214</v>
      </c>
      <c r="B149" s="46" t="s">
        <v>215</v>
      </c>
      <c r="C149" s="18" t="s">
        <v>75</v>
      </c>
      <c r="D149" s="46" t="s">
        <v>176</v>
      </c>
      <c r="E149" s="220">
        <v>13.6</v>
      </c>
      <c r="F149" s="186">
        <f>(1.732*0.85*110*13)/1000</f>
        <v>2.1052460000000002</v>
      </c>
      <c r="G149" s="217">
        <f>((F149+F152)/E149)</f>
        <v>0.16670499999999999</v>
      </c>
    </row>
    <row r="150" spans="1:7" ht="15.75" x14ac:dyDescent="0.25">
      <c r="A150" s="12"/>
      <c r="B150" s="46"/>
      <c r="C150" s="18"/>
      <c r="D150" s="46"/>
      <c r="E150" s="221"/>
      <c r="F150" s="187"/>
      <c r="G150" s="218"/>
    </row>
    <row r="151" spans="1:7" ht="15.75" x14ac:dyDescent="0.25">
      <c r="A151" s="12"/>
      <c r="B151" s="46"/>
      <c r="C151" s="18"/>
      <c r="D151" s="46"/>
      <c r="E151" s="221"/>
      <c r="F151" s="188"/>
      <c r="G151" s="218"/>
    </row>
    <row r="152" spans="1:7" ht="15.75" x14ac:dyDescent="0.25">
      <c r="A152" s="12"/>
      <c r="B152" s="46"/>
      <c r="C152" s="18" t="s">
        <v>81</v>
      </c>
      <c r="D152" s="46" t="s">
        <v>176</v>
      </c>
      <c r="E152" s="221"/>
      <c r="F152" s="186">
        <f>(1.732*0.85*110*1)/1000</f>
        <v>0.161942</v>
      </c>
      <c r="G152" s="218"/>
    </row>
    <row r="153" spans="1:7" ht="15.75" x14ac:dyDescent="0.25">
      <c r="A153" s="12"/>
      <c r="B153" s="46"/>
      <c r="C153" s="18"/>
      <c r="D153" s="46"/>
      <c r="E153" s="221"/>
      <c r="F153" s="187"/>
      <c r="G153" s="218"/>
    </row>
    <row r="154" spans="1:7" ht="15.75" x14ac:dyDescent="0.25">
      <c r="A154" s="12"/>
      <c r="B154" s="46"/>
      <c r="C154" s="18"/>
      <c r="D154" s="46"/>
      <c r="E154" s="222"/>
      <c r="F154" s="188"/>
      <c r="G154" s="219"/>
    </row>
    <row r="155" spans="1:7" ht="15.75" x14ac:dyDescent="0.25">
      <c r="A155" s="12"/>
      <c r="B155" s="46"/>
      <c r="C155" s="18"/>
      <c r="D155" s="46"/>
      <c r="E155" s="149" t="s">
        <v>78</v>
      </c>
      <c r="F155" s="149"/>
      <c r="G155" s="153"/>
    </row>
    <row r="156" spans="1:7" ht="15.75" x14ac:dyDescent="0.25">
      <c r="A156" s="12" t="s">
        <v>216</v>
      </c>
      <c r="B156" s="46" t="s">
        <v>217</v>
      </c>
      <c r="C156" s="18" t="s">
        <v>75</v>
      </c>
      <c r="D156" s="46" t="s">
        <v>143</v>
      </c>
      <c r="E156" s="220">
        <v>13.6</v>
      </c>
      <c r="F156" s="177">
        <f>(1.732*0.92*10*197)/1000</f>
        <v>3.1390767999999998</v>
      </c>
      <c r="G156" s="217">
        <f>((F156+F157)/E156)</f>
        <v>0.33743435294117646</v>
      </c>
    </row>
    <row r="157" spans="1:7" ht="15.75" x14ac:dyDescent="0.25">
      <c r="A157" s="12"/>
      <c r="B157" s="46"/>
      <c r="C157" s="18" t="s">
        <v>81</v>
      </c>
      <c r="D157" s="46" t="s">
        <v>143</v>
      </c>
      <c r="E157" s="222"/>
      <c r="F157" s="177">
        <f>(1.732*0.92*10*91)/1000</f>
        <v>1.4500304000000002</v>
      </c>
      <c r="G157" s="219"/>
    </row>
    <row r="158" spans="1:7" ht="15.75" x14ac:dyDescent="0.25">
      <c r="A158" s="12"/>
      <c r="B158" s="46"/>
      <c r="C158" s="18" t="s">
        <v>78</v>
      </c>
      <c r="D158" s="46"/>
      <c r="E158" s="149" t="s">
        <v>78</v>
      </c>
      <c r="F158" s="149"/>
      <c r="G158" s="153"/>
    </row>
    <row r="159" spans="1:7" ht="15.75" x14ac:dyDescent="0.25">
      <c r="A159" s="12" t="s">
        <v>218</v>
      </c>
      <c r="B159" s="46" t="s">
        <v>219</v>
      </c>
      <c r="C159" s="18" t="s">
        <v>75</v>
      </c>
      <c r="D159" s="13" t="s">
        <v>143</v>
      </c>
      <c r="E159" s="220">
        <v>13.6</v>
      </c>
      <c r="F159" s="177">
        <f>(1.732*0.92*6*196)/1000</f>
        <v>1.8738854399999998</v>
      </c>
      <c r="G159" s="217">
        <f>((F159+F160)/E159)</f>
        <v>0.17715303529411763</v>
      </c>
    </row>
    <row r="160" spans="1:7" ht="15.75" x14ac:dyDescent="0.25">
      <c r="A160" s="12"/>
      <c r="B160" s="46"/>
      <c r="C160" s="18" t="s">
        <v>81</v>
      </c>
      <c r="D160" s="46" t="s">
        <v>143</v>
      </c>
      <c r="E160" s="222"/>
      <c r="F160" s="177">
        <f>(1.732*0.92*6*56)/1000</f>
        <v>0.53539583999999996</v>
      </c>
      <c r="G160" s="219"/>
    </row>
    <row r="161" spans="1:7" ht="15.75" x14ac:dyDescent="0.25">
      <c r="A161" s="12"/>
      <c r="B161" s="46"/>
      <c r="C161" s="18" t="s">
        <v>78</v>
      </c>
      <c r="D161" s="46"/>
      <c r="E161" s="149" t="s">
        <v>78</v>
      </c>
      <c r="F161" s="149"/>
      <c r="G161" s="153"/>
    </row>
    <row r="162" spans="1:7" ht="15.75" x14ac:dyDescent="0.25">
      <c r="A162" s="12" t="s">
        <v>220</v>
      </c>
      <c r="B162" s="46" t="s">
        <v>221</v>
      </c>
      <c r="C162" s="18" t="s">
        <v>75</v>
      </c>
      <c r="D162" s="46" t="s">
        <v>222</v>
      </c>
      <c r="E162" s="220">
        <v>8.5</v>
      </c>
      <c r="F162" s="177">
        <f>(1.732*0.92*10*50)/1000</f>
        <v>0.79671999999999998</v>
      </c>
      <c r="G162" s="217">
        <f>((F162+F163)/E162)</f>
        <v>0.17996498823529414</v>
      </c>
    </row>
    <row r="163" spans="1:7" ht="15.75" x14ac:dyDescent="0.25">
      <c r="A163" s="12"/>
      <c r="B163" s="46"/>
      <c r="C163" s="18" t="s">
        <v>81</v>
      </c>
      <c r="D163" s="46" t="s">
        <v>222</v>
      </c>
      <c r="E163" s="222"/>
      <c r="F163" s="177">
        <f>(1.732*0.92*10*46)/1000</f>
        <v>0.73298240000000003</v>
      </c>
      <c r="G163" s="219"/>
    </row>
    <row r="164" spans="1:7" ht="15.75" x14ac:dyDescent="0.25">
      <c r="A164" s="12"/>
      <c r="B164" s="46"/>
      <c r="C164" s="18"/>
      <c r="D164" s="46"/>
      <c r="E164" s="149"/>
      <c r="F164" s="149"/>
      <c r="G164" s="153"/>
    </row>
    <row r="165" spans="1:7" ht="15.75" x14ac:dyDescent="0.25">
      <c r="A165" s="12" t="s">
        <v>223</v>
      </c>
      <c r="B165" s="46" t="s">
        <v>224</v>
      </c>
      <c r="C165" s="18" t="s">
        <v>75</v>
      </c>
      <c r="D165" s="46" t="s">
        <v>153</v>
      </c>
      <c r="E165" s="149">
        <v>5.4</v>
      </c>
      <c r="F165" s="177">
        <f>(1.732*0.92*10*36)/1000</f>
        <v>0.57363839999999999</v>
      </c>
      <c r="G165" s="153">
        <f>((F165+F166)/E165)</f>
        <v>0.32163881481481477</v>
      </c>
    </row>
    <row r="166" spans="1:7" ht="15.75" x14ac:dyDescent="0.25">
      <c r="A166" s="12"/>
      <c r="B166" s="46"/>
      <c r="C166" s="18" t="s">
        <v>81</v>
      </c>
      <c r="D166" s="46" t="s">
        <v>225</v>
      </c>
      <c r="E166" s="149">
        <v>8.5</v>
      </c>
      <c r="F166" s="177">
        <f>(1.732*0.92*10*73)/1000</f>
        <v>1.1632111999999999</v>
      </c>
      <c r="G166" s="153">
        <f>((F165+F166)/E166)</f>
        <v>0.2043352470588235</v>
      </c>
    </row>
    <row r="167" spans="1:7" ht="15.75" x14ac:dyDescent="0.25">
      <c r="A167" s="12"/>
      <c r="B167" s="46"/>
      <c r="C167" s="18" t="s">
        <v>78</v>
      </c>
      <c r="D167" s="46"/>
      <c r="E167" s="149" t="s">
        <v>78</v>
      </c>
      <c r="F167" s="149" t="s">
        <v>78</v>
      </c>
      <c r="G167" s="153"/>
    </row>
    <row r="168" spans="1:7" ht="15.75" x14ac:dyDescent="0.25">
      <c r="A168" s="12" t="s">
        <v>226</v>
      </c>
      <c r="B168" s="46" t="s">
        <v>227</v>
      </c>
      <c r="C168" s="18" t="s">
        <v>75</v>
      </c>
      <c r="D168" s="108" t="s">
        <v>228</v>
      </c>
      <c r="E168" s="220">
        <v>13.6</v>
      </c>
      <c r="F168" s="186">
        <f>(1.732*0.85*110*11)/1000</f>
        <v>1.7813620000000001</v>
      </c>
      <c r="G168" s="217">
        <f>(F168+F171)/E168</f>
        <v>0.16670499999999999</v>
      </c>
    </row>
    <row r="169" spans="1:7" ht="15.75" x14ac:dyDescent="0.25">
      <c r="A169" s="12"/>
      <c r="B169" s="13"/>
      <c r="C169" s="14" t="s">
        <v>135</v>
      </c>
      <c r="D169" s="108"/>
      <c r="E169" s="221"/>
      <c r="F169" s="187"/>
      <c r="G169" s="218"/>
    </row>
    <row r="170" spans="1:7" ht="15.75" x14ac:dyDescent="0.25">
      <c r="A170" s="12"/>
      <c r="B170" s="13"/>
      <c r="C170" s="14" t="s">
        <v>137</v>
      </c>
      <c r="D170" s="108"/>
      <c r="E170" s="221"/>
      <c r="F170" s="188"/>
      <c r="G170" s="218"/>
    </row>
    <row r="171" spans="1:7" ht="15.75" x14ac:dyDescent="0.25">
      <c r="A171" s="12"/>
      <c r="B171" s="13"/>
      <c r="C171" s="14" t="s">
        <v>81</v>
      </c>
      <c r="D171" s="108" t="s">
        <v>228</v>
      </c>
      <c r="E171" s="221"/>
      <c r="F171" s="186">
        <f>(1.732*0.85*110*3)/1000</f>
        <v>0.48582600000000004</v>
      </c>
      <c r="G171" s="218"/>
    </row>
    <row r="172" spans="1:7" ht="15.75" x14ac:dyDescent="0.25">
      <c r="A172" s="12"/>
      <c r="B172" s="13"/>
      <c r="C172" s="14" t="s">
        <v>136</v>
      </c>
      <c r="D172" s="13"/>
      <c r="E172" s="221"/>
      <c r="F172" s="187"/>
      <c r="G172" s="218"/>
    </row>
    <row r="173" spans="1:7" ht="15.75" x14ac:dyDescent="0.25">
      <c r="A173" s="12"/>
      <c r="B173" s="13"/>
      <c r="C173" s="14" t="s">
        <v>138</v>
      </c>
      <c r="D173" s="13"/>
      <c r="E173" s="222"/>
      <c r="F173" s="188"/>
      <c r="G173" s="219"/>
    </row>
    <row r="174" spans="1:7" ht="15.75" x14ac:dyDescent="0.25">
      <c r="A174" s="12"/>
      <c r="B174" s="46"/>
      <c r="C174" s="18"/>
      <c r="D174" s="46"/>
      <c r="E174" s="149"/>
      <c r="F174" s="149"/>
      <c r="G174" s="153"/>
    </row>
    <row r="175" spans="1:7" ht="15.75" x14ac:dyDescent="0.25">
      <c r="A175" s="12" t="s">
        <v>229</v>
      </c>
      <c r="B175" s="46" t="s">
        <v>230</v>
      </c>
      <c r="C175" s="18" t="s">
        <v>75</v>
      </c>
      <c r="D175" s="46" t="s">
        <v>231</v>
      </c>
      <c r="E175" s="220">
        <v>3.4</v>
      </c>
      <c r="F175" s="177">
        <f>(1.732*0.92*6*67)/1000</f>
        <v>0.64056287999999995</v>
      </c>
      <c r="G175" s="217">
        <f>((F175+F176)/E175)</f>
        <v>0.55676668235294113</v>
      </c>
    </row>
    <row r="176" spans="1:7" ht="15.75" x14ac:dyDescent="0.25">
      <c r="A176" s="12"/>
      <c r="B176" s="46"/>
      <c r="C176" s="18" t="s">
        <v>81</v>
      </c>
      <c r="D176" s="46" t="s">
        <v>231</v>
      </c>
      <c r="E176" s="222"/>
      <c r="F176" s="177">
        <f>(1.732*0.92*6*131)/1000</f>
        <v>1.25244384</v>
      </c>
      <c r="G176" s="219"/>
    </row>
    <row r="177" spans="1:7" ht="15.75" x14ac:dyDescent="0.25">
      <c r="A177" s="12"/>
      <c r="B177" s="46"/>
      <c r="C177" s="18" t="s">
        <v>78</v>
      </c>
      <c r="D177" s="46"/>
      <c r="E177" s="149" t="s">
        <v>78</v>
      </c>
      <c r="F177" s="149"/>
      <c r="G177" s="153"/>
    </row>
    <row r="178" spans="1:7" ht="15.75" x14ac:dyDescent="0.25">
      <c r="A178" s="115" t="s">
        <v>232</v>
      </c>
      <c r="B178" s="116" t="s">
        <v>233</v>
      </c>
      <c r="C178" s="117" t="s">
        <v>75</v>
      </c>
      <c r="D178" s="116" t="s">
        <v>234</v>
      </c>
      <c r="E178" s="220">
        <v>2.2000000000000002</v>
      </c>
      <c r="F178" s="177">
        <f>(1.732*0.92*10*28)/1000</f>
        <v>0.44616320000000004</v>
      </c>
      <c r="G178" s="217">
        <f>((F178+F179)/E178)</f>
        <v>0.20280145454545453</v>
      </c>
    </row>
    <row r="179" spans="1:7" ht="15.75" x14ac:dyDescent="0.25">
      <c r="A179" s="46"/>
      <c r="B179" s="46"/>
      <c r="C179" s="18" t="s">
        <v>81</v>
      </c>
      <c r="D179" s="46" t="s">
        <v>234</v>
      </c>
      <c r="E179" s="222"/>
      <c r="F179" s="177">
        <f>(1.732*0.92*10*0)/1000</f>
        <v>0</v>
      </c>
      <c r="G179" s="219"/>
    </row>
    <row r="180" spans="1:7" ht="15.75" x14ac:dyDescent="0.25">
      <c r="A180" s="46"/>
      <c r="B180" s="46"/>
      <c r="C180" s="18"/>
      <c r="D180" s="46"/>
      <c r="E180" s="149"/>
      <c r="F180" s="149"/>
      <c r="G180" s="168"/>
    </row>
    <row r="181" spans="1:7" ht="15.75" x14ac:dyDescent="0.25">
      <c r="A181" s="46" t="s">
        <v>235</v>
      </c>
      <c r="B181" s="46" t="s">
        <v>236</v>
      </c>
      <c r="C181" s="117" t="s">
        <v>75</v>
      </c>
      <c r="D181" s="116" t="s">
        <v>237</v>
      </c>
      <c r="E181" s="220">
        <v>21.3</v>
      </c>
      <c r="F181" s="186">
        <f>(1.732*0.85*110*35)/1000</f>
        <v>5.6679700000000004</v>
      </c>
      <c r="G181" s="217">
        <f>(F181+F184)/E181</f>
        <v>0.57782122065727692</v>
      </c>
    </row>
    <row r="182" spans="1:7" ht="15.75" x14ac:dyDescent="0.25">
      <c r="A182" s="46"/>
      <c r="B182" s="46"/>
      <c r="C182" s="117" t="s">
        <v>238</v>
      </c>
      <c r="D182" s="116"/>
      <c r="E182" s="221"/>
      <c r="F182" s="187"/>
      <c r="G182" s="218"/>
    </row>
    <row r="183" spans="1:7" ht="15.75" x14ac:dyDescent="0.25">
      <c r="A183" s="46"/>
      <c r="B183" s="46"/>
      <c r="C183" s="117" t="s">
        <v>239</v>
      </c>
      <c r="D183" s="116"/>
      <c r="E183" s="221"/>
      <c r="F183" s="188"/>
      <c r="G183" s="218"/>
    </row>
    <row r="184" spans="1:7" ht="15.75" x14ac:dyDescent="0.25">
      <c r="A184" s="46"/>
      <c r="B184" s="46"/>
      <c r="C184" s="117" t="s">
        <v>240</v>
      </c>
      <c r="D184" s="46" t="s">
        <v>237</v>
      </c>
      <c r="E184" s="221"/>
      <c r="F184" s="186">
        <f>(1.732*0.85*110*41)/1000</f>
        <v>6.6396220000000001</v>
      </c>
      <c r="G184" s="218"/>
    </row>
    <row r="185" spans="1:7" ht="15.75" x14ac:dyDescent="0.25">
      <c r="A185" s="46"/>
      <c r="B185" s="46"/>
      <c r="C185" s="117" t="s">
        <v>241</v>
      </c>
      <c r="D185" s="116"/>
      <c r="E185" s="221"/>
      <c r="F185" s="187"/>
      <c r="G185" s="218"/>
    </row>
    <row r="186" spans="1:7" ht="15.75" x14ac:dyDescent="0.25">
      <c r="A186" s="46"/>
      <c r="B186" s="46"/>
      <c r="C186" s="117" t="s">
        <v>242</v>
      </c>
      <c r="D186" s="116"/>
      <c r="E186" s="222"/>
      <c r="F186" s="188"/>
      <c r="G186" s="219"/>
    </row>
    <row r="187" spans="1:7" ht="15.75" x14ac:dyDescent="0.25">
      <c r="A187" s="46"/>
      <c r="B187" s="46"/>
      <c r="C187" s="117"/>
      <c r="D187" s="116"/>
      <c r="E187" s="149"/>
      <c r="F187" s="149"/>
      <c r="G187" s="168"/>
    </row>
    <row r="188" spans="1:7" ht="15.75" x14ac:dyDescent="0.25">
      <c r="A188" s="46" t="s">
        <v>243</v>
      </c>
      <c r="B188" s="46" t="s">
        <v>244</v>
      </c>
      <c r="C188" s="117" t="s">
        <v>75</v>
      </c>
      <c r="D188" s="116" t="s">
        <v>245</v>
      </c>
      <c r="E188" s="176">
        <v>21.3</v>
      </c>
      <c r="F188" s="177">
        <f>(1.732*0.92*10*628)/1000</f>
        <v>10.0068032</v>
      </c>
      <c r="G188" s="168">
        <f>(F188+F189+F190)/(E188+E189)</f>
        <v>0.66729975586854462</v>
      </c>
    </row>
    <row r="189" spans="1:7" ht="15.75" x14ac:dyDescent="0.25">
      <c r="A189" s="46"/>
      <c r="B189" s="46"/>
      <c r="C189" s="18" t="s">
        <v>81</v>
      </c>
      <c r="D189" s="46" t="s">
        <v>245</v>
      </c>
      <c r="E189" s="176">
        <v>21.3</v>
      </c>
      <c r="F189" s="177">
        <f>(1.732*0.92*10*632)/1000</f>
        <v>10.0705408</v>
      </c>
      <c r="G189" s="168">
        <f>(F189+F190+F188)/(E189+E190)</f>
        <v>0.81452634957020065</v>
      </c>
    </row>
    <row r="190" spans="1:7" ht="15.75" customHeight="1" x14ac:dyDescent="0.25">
      <c r="A190" s="46"/>
      <c r="B190" s="46"/>
      <c r="C190" s="18" t="s">
        <v>246</v>
      </c>
      <c r="D190" s="46" t="s">
        <v>228</v>
      </c>
      <c r="E190" s="149">
        <v>13.6</v>
      </c>
      <c r="F190" s="177">
        <f>(1.732*0.92*10*524)/1000</f>
        <v>8.3496255999999995</v>
      </c>
      <c r="G190" s="168">
        <f>(F190+F189+F188)/(E190+E189)</f>
        <v>0.81452634957020065</v>
      </c>
    </row>
    <row r="191" spans="1:7" ht="15.75" x14ac:dyDescent="0.25">
      <c r="A191" s="46"/>
      <c r="B191" s="46"/>
      <c r="C191" s="18"/>
      <c r="D191" s="46"/>
      <c r="E191" s="149"/>
      <c r="F191" s="149"/>
      <c r="G191" s="168"/>
    </row>
    <row r="192" spans="1:7" ht="15.75" x14ac:dyDescent="0.25">
      <c r="A192" s="46" t="s">
        <v>247</v>
      </c>
      <c r="B192" s="46" t="s">
        <v>248</v>
      </c>
      <c r="C192" s="117" t="s">
        <v>75</v>
      </c>
      <c r="D192" s="116" t="s">
        <v>245</v>
      </c>
      <c r="E192" s="220">
        <v>21.3</v>
      </c>
      <c r="F192" s="177">
        <f>(1.732*0.92*10*712)/1000</f>
        <v>11.345292799999999</v>
      </c>
      <c r="G192" s="189">
        <f>(F192+F193)/E192</f>
        <v>1.0263848262910797</v>
      </c>
    </row>
    <row r="193" spans="1:7" ht="15.75" x14ac:dyDescent="0.25">
      <c r="A193" s="46"/>
      <c r="B193" s="46"/>
      <c r="C193" s="18" t="s">
        <v>81</v>
      </c>
      <c r="D193" s="46" t="s">
        <v>245</v>
      </c>
      <c r="E193" s="222"/>
      <c r="F193" s="177">
        <f>(1.732*0.92*10*660)/1000</f>
        <v>10.516703999999999</v>
      </c>
      <c r="G193" s="191"/>
    </row>
    <row r="194" spans="1:7" ht="15.75" x14ac:dyDescent="0.25">
      <c r="A194" s="46"/>
      <c r="B194" s="46"/>
      <c r="C194" s="18"/>
      <c r="D194" s="46"/>
      <c r="E194" s="149"/>
      <c r="F194" s="149"/>
      <c r="G194" s="168"/>
    </row>
    <row r="195" spans="1:7" ht="15.75" x14ac:dyDescent="0.25">
      <c r="A195" s="46" t="s">
        <v>249</v>
      </c>
      <c r="B195" s="46" t="s">
        <v>250</v>
      </c>
      <c r="C195" s="117" t="s">
        <v>75</v>
      </c>
      <c r="D195" s="108" t="s">
        <v>134</v>
      </c>
      <c r="E195" s="220">
        <v>21.3</v>
      </c>
      <c r="F195" s="177">
        <f>(1.732*0.92*10*725)/1000</f>
        <v>11.552440000000001</v>
      </c>
      <c r="G195" s="189">
        <f>(F195+F196)/E195</f>
        <v>1.1483241314553989</v>
      </c>
    </row>
    <row r="196" spans="1:7" ht="15.75" x14ac:dyDescent="0.25">
      <c r="A196" s="46"/>
      <c r="B196" s="46"/>
      <c r="C196" s="18" t="s">
        <v>81</v>
      </c>
      <c r="D196" s="108" t="s">
        <v>251</v>
      </c>
      <c r="E196" s="222"/>
      <c r="F196" s="177">
        <f>(1.732*0.92*10*810)/1000</f>
        <v>12.906863999999999</v>
      </c>
      <c r="G196" s="191"/>
    </row>
    <row r="197" spans="1:7" ht="15.75" x14ac:dyDescent="0.25">
      <c r="A197" s="46"/>
      <c r="B197" s="46"/>
      <c r="C197" s="18"/>
      <c r="D197" s="46"/>
      <c r="E197" s="149"/>
      <c r="F197" s="149"/>
      <c r="G197" s="168"/>
    </row>
    <row r="198" spans="1:7" ht="15.75" x14ac:dyDescent="0.25">
      <c r="A198" s="46" t="s">
        <v>252</v>
      </c>
      <c r="B198" s="46" t="s">
        <v>253</v>
      </c>
      <c r="C198" s="18" t="s">
        <v>75</v>
      </c>
      <c r="D198" s="13" t="s">
        <v>225</v>
      </c>
      <c r="E198" s="223">
        <v>8.5</v>
      </c>
      <c r="F198" s="177">
        <f>(1.732*0.92*6*0)/1000</f>
        <v>0</v>
      </c>
      <c r="G198" s="189">
        <f>(F198+F199)/E198</f>
        <v>8.6608150588235289E-2</v>
      </c>
    </row>
    <row r="199" spans="1:7" ht="15.75" x14ac:dyDescent="0.25">
      <c r="A199" s="46"/>
      <c r="B199" s="46"/>
      <c r="C199" s="18" t="s">
        <v>81</v>
      </c>
      <c r="D199" s="13" t="s">
        <v>146</v>
      </c>
      <c r="E199" s="224"/>
      <c r="F199" s="177">
        <f>(1.732*0.92*6*77)/1000</f>
        <v>0.73616927999999993</v>
      </c>
      <c r="G199" s="191"/>
    </row>
    <row r="200" spans="1:7" ht="15.75" x14ac:dyDescent="0.25">
      <c r="A200" s="46"/>
      <c r="B200" s="46"/>
      <c r="C200" s="117"/>
      <c r="D200" s="111"/>
      <c r="E200" s="154"/>
      <c r="F200" s="149"/>
      <c r="G200" s="168"/>
    </row>
    <row r="201" spans="1:7" ht="15.75" x14ac:dyDescent="0.25">
      <c r="A201" s="46" t="s">
        <v>254</v>
      </c>
      <c r="B201" s="46" t="s">
        <v>255</v>
      </c>
      <c r="C201" s="117" t="s">
        <v>75</v>
      </c>
      <c r="D201" s="116" t="s">
        <v>256</v>
      </c>
      <c r="E201" s="220">
        <v>12.7</v>
      </c>
      <c r="F201" s="177">
        <f>(1.732*0.92*6*0)/1000</f>
        <v>0</v>
      </c>
      <c r="G201" s="189">
        <f>(F201+F202)/E201</f>
        <v>0.13550513385826771</v>
      </c>
    </row>
    <row r="202" spans="1:7" ht="15.75" x14ac:dyDescent="0.25">
      <c r="A202" s="46"/>
      <c r="B202" s="46"/>
      <c r="C202" s="18" t="s">
        <v>81</v>
      </c>
      <c r="D202" s="46" t="s">
        <v>256</v>
      </c>
      <c r="E202" s="222"/>
      <c r="F202" s="177">
        <f>(1.732*0.92*6*180)/1000</f>
        <v>1.7209151999999999</v>
      </c>
      <c r="G202" s="191"/>
    </row>
    <row r="203" spans="1:7" ht="15.75" x14ac:dyDescent="0.25">
      <c r="A203" s="46"/>
      <c r="B203" s="46"/>
      <c r="C203" s="18"/>
      <c r="D203" s="46"/>
      <c r="E203" s="149"/>
      <c r="F203" s="149"/>
      <c r="G203" s="168"/>
    </row>
    <row r="204" spans="1:7" ht="15.75" x14ac:dyDescent="0.25">
      <c r="A204" s="46" t="s">
        <v>257</v>
      </c>
      <c r="B204" s="130">
        <v>4</v>
      </c>
      <c r="C204" s="117" t="s">
        <v>75</v>
      </c>
      <c r="D204" s="116" t="s">
        <v>184</v>
      </c>
      <c r="E204" s="220">
        <v>5.3</v>
      </c>
      <c r="F204" s="177">
        <f>(1.732*0.92*6*62)/1000</f>
        <v>0.59275968000000001</v>
      </c>
      <c r="G204" s="189">
        <f>(F204+F205)/E204</f>
        <v>0.18399722264150944</v>
      </c>
    </row>
    <row r="205" spans="1:7" ht="15.75" x14ac:dyDescent="0.25">
      <c r="A205" s="46"/>
      <c r="B205" s="46"/>
      <c r="C205" s="18" t="s">
        <v>81</v>
      </c>
      <c r="D205" s="46" t="s">
        <v>184</v>
      </c>
      <c r="E205" s="222"/>
      <c r="F205" s="177">
        <f>(1.732*0.92*6*40)/1000</f>
        <v>0.38242559999999998</v>
      </c>
      <c r="G205" s="191"/>
    </row>
    <row r="206" spans="1:7" ht="15.75" x14ac:dyDescent="0.25">
      <c r="A206" s="46"/>
      <c r="B206" s="46"/>
      <c r="C206" s="18"/>
      <c r="D206" s="46"/>
      <c r="E206" s="149"/>
      <c r="F206" s="149"/>
      <c r="G206" s="168"/>
    </row>
    <row r="207" spans="1:7" ht="15.75" x14ac:dyDescent="0.25">
      <c r="A207" s="46" t="s">
        <v>258</v>
      </c>
      <c r="B207" s="46" t="s">
        <v>259</v>
      </c>
      <c r="C207" s="18" t="s">
        <v>75</v>
      </c>
      <c r="D207" s="13" t="s">
        <v>176</v>
      </c>
      <c r="E207" s="220">
        <v>13.6</v>
      </c>
      <c r="F207" s="186">
        <f>(1.732*0.85*110*41)/1000</f>
        <v>6.6396220000000001</v>
      </c>
      <c r="G207" s="189">
        <f>(F207+F210)/E207</f>
        <v>0.84543250000000003</v>
      </c>
    </row>
    <row r="208" spans="1:7" ht="15.75" x14ac:dyDescent="0.25">
      <c r="A208" s="46"/>
      <c r="B208" s="46"/>
      <c r="C208" s="18"/>
      <c r="D208" s="13"/>
      <c r="E208" s="221"/>
      <c r="F208" s="187"/>
      <c r="G208" s="190"/>
    </row>
    <row r="209" spans="1:7" ht="15.75" x14ac:dyDescent="0.25">
      <c r="A209" s="46"/>
      <c r="B209" s="46"/>
      <c r="C209" s="18"/>
      <c r="D209" s="13"/>
      <c r="E209" s="221"/>
      <c r="F209" s="188"/>
      <c r="G209" s="190"/>
    </row>
    <row r="210" spans="1:7" ht="15.75" x14ac:dyDescent="0.25">
      <c r="A210" s="46"/>
      <c r="B210" s="46"/>
      <c r="C210" s="18" t="s">
        <v>81</v>
      </c>
      <c r="D210" s="13" t="s">
        <v>176</v>
      </c>
      <c r="E210" s="221"/>
      <c r="F210" s="186">
        <f>(1.732*0.85*110*30)/1000</f>
        <v>4.8582600000000005</v>
      </c>
      <c r="G210" s="190"/>
    </row>
    <row r="211" spans="1:7" ht="15.75" x14ac:dyDescent="0.25">
      <c r="A211" s="46"/>
      <c r="B211" s="46"/>
      <c r="C211" s="18"/>
      <c r="D211" s="13"/>
      <c r="E211" s="221"/>
      <c r="F211" s="187"/>
      <c r="G211" s="190"/>
    </row>
    <row r="212" spans="1:7" ht="15.75" x14ac:dyDescent="0.25">
      <c r="A212" s="46"/>
      <c r="B212" s="46"/>
      <c r="C212" s="18"/>
      <c r="D212" s="13"/>
      <c r="E212" s="222"/>
      <c r="F212" s="188"/>
      <c r="G212" s="191"/>
    </row>
    <row r="213" spans="1:7" ht="15.75" x14ac:dyDescent="0.25">
      <c r="A213" s="46"/>
      <c r="B213" s="46"/>
      <c r="C213" s="18"/>
      <c r="D213" s="13"/>
      <c r="E213" s="149"/>
      <c r="F213" s="181"/>
      <c r="G213" s="180"/>
    </row>
    <row r="214" spans="1:7" ht="15.75" x14ac:dyDescent="0.25">
      <c r="A214" s="46" t="s">
        <v>260</v>
      </c>
      <c r="B214" s="260" t="s">
        <v>311</v>
      </c>
      <c r="C214" s="261" t="s">
        <v>75</v>
      </c>
      <c r="D214" s="263" t="s">
        <v>245</v>
      </c>
      <c r="E214" s="179"/>
      <c r="F214" s="265"/>
      <c r="G214" s="180"/>
    </row>
    <row r="215" spans="1:7" ht="15.75" x14ac:dyDescent="0.25">
      <c r="A215" s="46"/>
      <c r="B215" s="260"/>
      <c r="C215" s="262" t="s">
        <v>238</v>
      </c>
      <c r="D215" s="264"/>
      <c r="E215" s="266"/>
      <c r="F215" s="265"/>
      <c r="G215" s="180"/>
    </row>
    <row r="216" spans="1:7" ht="15.75" x14ac:dyDescent="0.25">
      <c r="A216" s="46"/>
      <c r="B216" s="260"/>
      <c r="C216" s="262" t="s">
        <v>239</v>
      </c>
      <c r="D216" s="264"/>
      <c r="E216" s="266"/>
      <c r="F216" s="265"/>
      <c r="G216" s="180"/>
    </row>
    <row r="217" spans="1:7" ht="15.75" x14ac:dyDescent="0.25">
      <c r="A217" s="46"/>
      <c r="B217" s="260"/>
      <c r="C217" s="262" t="s">
        <v>240</v>
      </c>
      <c r="D217" s="268" t="s">
        <v>312</v>
      </c>
      <c r="E217" s="179"/>
      <c r="F217" s="265"/>
      <c r="G217" s="180"/>
    </row>
    <row r="218" spans="1:7" ht="15.75" x14ac:dyDescent="0.25">
      <c r="A218" s="46"/>
      <c r="B218" s="260"/>
      <c r="C218" s="262" t="s">
        <v>241</v>
      </c>
      <c r="D218" s="264"/>
      <c r="E218" s="179"/>
      <c r="F218" s="265"/>
      <c r="G218" s="180"/>
    </row>
    <row r="219" spans="1:7" ht="16.5" thickBot="1" x14ac:dyDescent="0.3">
      <c r="A219" s="46"/>
      <c r="B219" s="260"/>
      <c r="C219" s="126" t="s">
        <v>242</v>
      </c>
      <c r="D219" s="267"/>
      <c r="E219" s="269"/>
      <c r="F219" s="265"/>
      <c r="G219" s="180"/>
    </row>
    <row r="220" spans="1:7" ht="15.75" x14ac:dyDescent="0.25">
      <c r="A220" s="46"/>
      <c r="B220" s="260"/>
      <c r="C220" s="18"/>
      <c r="D220" s="13"/>
      <c r="E220" s="160"/>
      <c r="F220" s="181"/>
      <c r="G220" s="180"/>
    </row>
    <row r="221" spans="1:7" ht="15.75" x14ac:dyDescent="0.25">
      <c r="A221" s="46"/>
      <c r="B221" s="46"/>
      <c r="C221" s="18"/>
      <c r="D221" s="13"/>
      <c r="E221" s="149"/>
      <c r="F221" s="149"/>
      <c r="G221" s="168"/>
    </row>
    <row r="222" spans="1:7" ht="15.75" x14ac:dyDescent="0.25">
      <c r="A222" s="46" t="s">
        <v>263</v>
      </c>
      <c r="B222" s="46" t="s">
        <v>261</v>
      </c>
      <c r="C222" s="18" t="s">
        <v>262</v>
      </c>
      <c r="D222" s="13" t="s">
        <v>143</v>
      </c>
      <c r="E222" s="220">
        <v>13.6</v>
      </c>
      <c r="F222" s="177">
        <f>(1.732*0.92*10*36)/1000</f>
        <v>0.57363839999999999</v>
      </c>
      <c r="G222" s="189">
        <f>(F222+F223)/E222</f>
        <v>7.3813764705882356E-2</v>
      </c>
    </row>
    <row r="223" spans="1:7" ht="15.75" x14ac:dyDescent="0.25">
      <c r="A223" s="46"/>
      <c r="B223" s="46"/>
      <c r="C223" s="18" t="s">
        <v>240</v>
      </c>
      <c r="D223" s="13" t="s">
        <v>143</v>
      </c>
      <c r="E223" s="222"/>
      <c r="F223" s="177">
        <f>(1.732*0.92*10*27)/1000</f>
        <v>0.43022879999999997</v>
      </c>
      <c r="G223" s="191"/>
    </row>
    <row r="224" spans="1:7" ht="15.75" x14ac:dyDescent="0.25">
      <c r="A224" s="131" t="s">
        <v>265</v>
      </c>
      <c r="B224" s="131" t="s">
        <v>264</v>
      </c>
      <c r="C224" s="132" t="s">
        <v>262</v>
      </c>
      <c r="D224" s="131" t="s">
        <v>237</v>
      </c>
      <c r="E224" s="227">
        <v>21.3</v>
      </c>
      <c r="F224" s="177">
        <f>(1.732*0.92*10*150)/1000</f>
        <v>2.3901599999999998</v>
      </c>
      <c r="G224" s="229">
        <f>(F224+F225)/E224</f>
        <v>0.15111496713615022</v>
      </c>
    </row>
    <row r="225" spans="1:7" ht="15.75" x14ac:dyDescent="0.25">
      <c r="A225" s="131"/>
      <c r="B225" s="131"/>
      <c r="C225" s="132" t="s">
        <v>240</v>
      </c>
      <c r="D225" s="131" t="s">
        <v>237</v>
      </c>
      <c r="E225" s="228"/>
      <c r="F225" s="177">
        <f>(1.732*0.92*10*52)/1000</f>
        <v>0.82858880000000001</v>
      </c>
      <c r="G225" s="230"/>
    </row>
    <row r="226" spans="1:7" ht="15.75" x14ac:dyDescent="0.25">
      <c r="A226" s="131" t="s">
        <v>267</v>
      </c>
      <c r="B226" s="131" t="s">
        <v>266</v>
      </c>
      <c r="C226" s="132" t="s">
        <v>262</v>
      </c>
      <c r="D226" s="46" t="s">
        <v>153</v>
      </c>
      <c r="E226" s="220">
        <v>5.3</v>
      </c>
      <c r="F226" s="177">
        <f>(1.732*0.92*10*36)/1000</f>
        <v>0.57363839999999999</v>
      </c>
      <c r="G226" s="229">
        <f>(F226+F227)/E226</f>
        <v>0.19542188679245284</v>
      </c>
    </row>
    <row r="227" spans="1:7" ht="15.75" x14ac:dyDescent="0.25">
      <c r="A227" s="131"/>
      <c r="B227" s="131"/>
      <c r="C227" s="132" t="s">
        <v>240</v>
      </c>
      <c r="D227" s="46" t="s">
        <v>153</v>
      </c>
      <c r="E227" s="222"/>
      <c r="F227" s="177">
        <f>(1.732*0.92*10*29)/1000</f>
        <v>0.4620976</v>
      </c>
      <c r="G227" s="230"/>
    </row>
    <row r="228" spans="1:7" ht="15.75" x14ac:dyDescent="0.25">
      <c r="A228" s="131" t="s">
        <v>268</v>
      </c>
      <c r="B228" s="133">
        <v>27</v>
      </c>
      <c r="C228" s="132" t="s">
        <v>262</v>
      </c>
      <c r="D228" s="13" t="s">
        <v>146</v>
      </c>
      <c r="E228" s="227">
        <v>8.5</v>
      </c>
      <c r="F228" s="169">
        <v>0</v>
      </c>
      <c r="G228" s="189">
        <f>(F228+F230)/E228</f>
        <v>0.16309327058823528</v>
      </c>
    </row>
    <row r="229" spans="1:7" ht="15.75" x14ac:dyDescent="0.25">
      <c r="A229" s="131"/>
      <c r="B229" s="133"/>
      <c r="C229" s="132"/>
      <c r="D229" s="13"/>
      <c r="E229" s="259"/>
      <c r="F229" s="169"/>
      <c r="G229" s="190"/>
    </row>
    <row r="230" spans="1:7" ht="15.75" x14ac:dyDescent="0.25">
      <c r="A230" s="131"/>
      <c r="B230" s="131"/>
      <c r="C230" s="132" t="s">
        <v>240</v>
      </c>
      <c r="D230" s="13" t="s">
        <v>146</v>
      </c>
      <c r="E230" s="228"/>
      <c r="F230" s="177">
        <f>(1.732*0.92*6*145)/1000</f>
        <v>1.3862927999999999</v>
      </c>
      <c r="G230" s="191"/>
    </row>
    <row r="231" spans="1:7" ht="15.75" x14ac:dyDescent="0.25">
      <c r="A231" s="134"/>
      <c r="B231" s="134"/>
      <c r="C231" s="135"/>
      <c r="D231" s="23"/>
      <c r="E231" s="170"/>
      <c r="F231" s="170"/>
      <c r="G231" s="164"/>
    </row>
    <row r="232" spans="1:7" ht="15.75" x14ac:dyDescent="0.25">
      <c r="A232" s="134"/>
      <c r="B232" s="134"/>
      <c r="C232" s="135"/>
      <c r="D232" s="23"/>
      <c r="E232" s="170"/>
      <c r="F232" s="170"/>
      <c r="G232" s="164"/>
    </row>
    <row r="233" spans="1:7" ht="16.5" thickBot="1" x14ac:dyDescent="0.3">
      <c r="A233" s="22"/>
      <c r="B233" s="23"/>
      <c r="C233" s="24"/>
      <c r="D233" s="23"/>
      <c r="E233" s="157"/>
      <c r="F233" s="157"/>
      <c r="G233" s="164"/>
    </row>
    <row r="234" spans="1:7" ht="15.75" x14ac:dyDescent="0.25">
      <c r="A234" s="106" t="s">
        <v>268</v>
      </c>
      <c r="B234" s="136" t="s">
        <v>269</v>
      </c>
      <c r="C234" s="102" t="s">
        <v>125</v>
      </c>
      <c r="D234" s="101" t="s">
        <v>270</v>
      </c>
      <c r="E234" s="145">
        <v>106.2</v>
      </c>
      <c r="F234" s="178">
        <f>(1.732*0.85*220*100)/1000</f>
        <v>32.388400000000004</v>
      </c>
      <c r="G234" s="168">
        <f>(F234+F236)/E234</f>
        <v>0.30497551789077215</v>
      </c>
    </row>
    <row r="235" spans="1:7" ht="15.75" x14ac:dyDescent="0.25">
      <c r="A235" s="12"/>
      <c r="B235" s="137"/>
      <c r="C235" s="14" t="s">
        <v>127</v>
      </c>
      <c r="D235" s="13" t="s">
        <v>270</v>
      </c>
      <c r="E235" s="145">
        <v>106.2</v>
      </c>
      <c r="F235" s="178">
        <f>(1.732*0.85*220*206)/1000</f>
        <v>66.720104000000006</v>
      </c>
      <c r="G235" s="168">
        <f>(F235+F237)/E235</f>
        <v>0.62824956685499067</v>
      </c>
    </row>
    <row r="236" spans="1:7" ht="21.75" customHeight="1" thickBot="1" x14ac:dyDescent="0.3">
      <c r="A236" s="12"/>
      <c r="B236" s="137"/>
      <c r="C236" s="14" t="s">
        <v>271</v>
      </c>
      <c r="D236" s="13" t="s">
        <v>272</v>
      </c>
      <c r="E236" s="145">
        <v>127.5</v>
      </c>
      <c r="F236" s="145">
        <v>0</v>
      </c>
      <c r="G236" s="161">
        <f>(F234+F236)/E236</f>
        <v>0.25402666666666668</v>
      </c>
    </row>
    <row r="237" spans="1:7" ht="15.75" x14ac:dyDescent="0.25">
      <c r="A237" s="12"/>
      <c r="B237" s="137"/>
      <c r="C237" s="14"/>
      <c r="D237" s="13"/>
      <c r="E237" s="145"/>
      <c r="F237" s="145"/>
      <c r="G237" s="167"/>
    </row>
    <row r="238" spans="1:7" ht="15.75" x14ac:dyDescent="0.25">
      <c r="A238" s="12"/>
      <c r="B238" s="137"/>
      <c r="C238" s="18" t="s">
        <v>75</v>
      </c>
      <c r="D238" s="46" t="s">
        <v>273</v>
      </c>
      <c r="E238" s="220">
        <v>21.3</v>
      </c>
      <c r="F238" s="177">
        <f>(1.732*0.85*10*280)/1000</f>
        <v>4.12216</v>
      </c>
      <c r="G238" s="217">
        <f>((F238+F239)/E238)</f>
        <v>0.40779248826291081</v>
      </c>
    </row>
    <row r="239" spans="1:7" ht="15.75" x14ac:dyDescent="0.25">
      <c r="A239" s="12"/>
      <c r="B239" s="137"/>
      <c r="C239" s="18" t="s">
        <v>81</v>
      </c>
      <c r="D239" s="46" t="s">
        <v>273</v>
      </c>
      <c r="E239" s="222"/>
      <c r="F239" s="177">
        <f>(1.732*0.85*10*310)/1000</f>
        <v>4.5638199999999998</v>
      </c>
      <c r="G239" s="219"/>
    </row>
    <row r="240" spans="1:7" ht="15.75" x14ac:dyDescent="0.25">
      <c r="A240" s="118"/>
      <c r="B240" s="138"/>
      <c r="C240" s="129"/>
      <c r="D240" s="138"/>
      <c r="E240" s="171"/>
      <c r="F240" s="171"/>
      <c r="G240" s="161"/>
    </row>
    <row r="241" spans="1:8" ht="18" customHeight="1" x14ac:dyDescent="0.25">
      <c r="A241" s="12" t="s">
        <v>274</v>
      </c>
      <c r="B241" s="13" t="s">
        <v>275</v>
      </c>
      <c r="C241" s="14" t="s">
        <v>75</v>
      </c>
      <c r="D241" s="13" t="s">
        <v>76</v>
      </c>
      <c r="E241" s="214">
        <v>21.3</v>
      </c>
      <c r="F241" s="150">
        <f>(1.732*0.85*110*66)/1000</f>
        <v>10.688172</v>
      </c>
      <c r="G241" s="217">
        <f>((F241+F242)/E241)</f>
        <v>0.53980666666666666</v>
      </c>
    </row>
    <row r="242" spans="1:8" ht="18.75" customHeight="1" x14ac:dyDescent="0.25">
      <c r="A242" s="12"/>
      <c r="B242" s="13"/>
      <c r="C242" s="14" t="s">
        <v>81</v>
      </c>
      <c r="D242" s="13" t="s">
        <v>76</v>
      </c>
      <c r="E242" s="215"/>
      <c r="F242" s="150">
        <f>(1.732*0.85*110*5)/1000</f>
        <v>0.80971000000000004</v>
      </c>
      <c r="G242" s="218"/>
    </row>
    <row r="243" spans="1:8" ht="15.75" x14ac:dyDescent="0.25">
      <c r="A243" s="12"/>
      <c r="B243" s="46"/>
      <c r="C243" s="18" t="s">
        <v>78</v>
      </c>
      <c r="D243" s="46"/>
      <c r="E243" s="149" t="s">
        <v>78</v>
      </c>
      <c r="F243" s="149"/>
      <c r="G243" s="153"/>
    </row>
    <row r="244" spans="1:8" ht="15.75" x14ac:dyDescent="0.25">
      <c r="A244" s="12" t="s">
        <v>276</v>
      </c>
      <c r="B244" s="13" t="s">
        <v>277</v>
      </c>
      <c r="C244" s="14" t="s">
        <v>75</v>
      </c>
      <c r="D244" s="13" t="s">
        <v>225</v>
      </c>
      <c r="E244" s="214">
        <v>8.5</v>
      </c>
      <c r="F244" s="177">
        <f>(1.732*0.92*6*125)/1000</f>
        <v>1.1950799999999999</v>
      </c>
      <c r="G244" s="217">
        <f>((F244+F245)/E244)</f>
        <v>0.34418303999999994</v>
      </c>
    </row>
    <row r="245" spans="1:8" ht="15.75" x14ac:dyDescent="0.25">
      <c r="A245" s="12"/>
      <c r="B245" s="13"/>
      <c r="C245" s="14" t="s">
        <v>81</v>
      </c>
      <c r="D245" s="13" t="s">
        <v>225</v>
      </c>
      <c r="E245" s="216"/>
      <c r="F245" s="177">
        <f>(1.732*0.92*6*181)/1000</f>
        <v>1.7304758399999998</v>
      </c>
      <c r="G245" s="219"/>
    </row>
    <row r="246" spans="1:8" ht="15.75" x14ac:dyDescent="0.25">
      <c r="A246" s="12"/>
      <c r="B246" s="46"/>
      <c r="C246" s="18" t="s">
        <v>78</v>
      </c>
      <c r="D246" s="46"/>
      <c r="E246" s="149" t="s">
        <v>78</v>
      </c>
      <c r="F246" s="149"/>
      <c r="G246" s="172" t="s">
        <v>122</v>
      </c>
    </row>
    <row r="247" spans="1:8" ht="15.75" x14ac:dyDescent="0.25">
      <c r="A247" s="12" t="s">
        <v>278</v>
      </c>
      <c r="B247" s="46" t="s">
        <v>279</v>
      </c>
      <c r="C247" s="18" t="s">
        <v>75</v>
      </c>
      <c r="D247" s="46" t="s">
        <v>76</v>
      </c>
      <c r="E247" s="214">
        <v>21.3</v>
      </c>
      <c r="F247" s="150">
        <f>(1.732*0.85*110*37)/1000</f>
        <v>5.991854</v>
      </c>
      <c r="G247" s="217">
        <f>((F247+F248)/E247)</f>
        <v>0.53220375586854463</v>
      </c>
      <c r="H247">
        <v>0.81399999999999995</v>
      </c>
    </row>
    <row r="248" spans="1:8" ht="15.75" x14ac:dyDescent="0.25">
      <c r="A248" s="12"/>
      <c r="B248" s="46"/>
      <c r="C248" s="18" t="s">
        <v>81</v>
      </c>
      <c r="D248" s="46" t="s">
        <v>76</v>
      </c>
      <c r="E248" s="215"/>
      <c r="F248" s="150">
        <f>(1.732*0.85*110*33)/1000</f>
        <v>5.3440859999999999</v>
      </c>
      <c r="G248" s="219"/>
      <c r="H248">
        <v>0.64</v>
      </c>
    </row>
    <row r="249" spans="1:8" ht="15.75" x14ac:dyDescent="0.25">
      <c r="A249" s="12"/>
      <c r="B249" s="46"/>
      <c r="C249" s="18" t="s">
        <v>78</v>
      </c>
      <c r="D249" s="46"/>
      <c r="E249" s="149" t="s">
        <v>78</v>
      </c>
      <c r="F249" s="149"/>
      <c r="G249" s="153"/>
    </row>
    <row r="250" spans="1:8" ht="15.75" x14ac:dyDescent="0.25">
      <c r="A250" s="12" t="s">
        <v>280</v>
      </c>
      <c r="B250" s="46" t="s">
        <v>281</v>
      </c>
      <c r="C250" s="18" t="s">
        <v>75</v>
      </c>
      <c r="D250" s="46" t="s">
        <v>76</v>
      </c>
      <c r="E250" s="220">
        <v>21.3</v>
      </c>
      <c r="F250" s="150">
        <f>(1.732*0.85*110*43)/1000</f>
        <v>6.9635060000000006</v>
      </c>
      <c r="G250" s="217">
        <f>((F250+F251)/E250)</f>
        <v>0.65385032863849768</v>
      </c>
    </row>
    <row r="251" spans="1:8" ht="15.75" x14ac:dyDescent="0.25">
      <c r="A251" s="12"/>
      <c r="B251" s="46"/>
      <c r="C251" s="18" t="s">
        <v>81</v>
      </c>
      <c r="D251" s="46" t="s">
        <v>76</v>
      </c>
      <c r="E251" s="221"/>
      <c r="F251" s="150">
        <f>(1.732*0.85*110*43)/1000</f>
        <v>6.9635060000000006</v>
      </c>
      <c r="G251" s="219"/>
    </row>
    <row r="252" spans="1:8" ht="15.75" x14ac:dyDescent="0.25">
      <c r="A252" s="12"/>
      <c r="B252" s="46"/>
      <c r="C252" s="18" t="s">
        <v>78</v>
      </c>
      <c r="D252" s="46"/>
      <c r="E252" s="149" t="s">
        <v>78</v>
      </c>
      <c r="F252" s="149"/>
      <c r="G252" s="153"/>
    </row>
    <row r="253" spans="1:8" ht="15.75" x14ac:dyDescent="0.25">
      <c r="A253" s="12" t="s">
        <v>282</v>
      </c>
      <c r="B253" s="46" t="s">
        <v>283</v>
      </c>
      <c r="C253" s="18" t="s">
        <v>75</v>
      </c>
      <c r="D253" s="46" t="s">
        <v>143</v>
      </c>
      <c r="E253" s="220">
        <v>13.6</v>
      </c>
      <c r="F253" s="177">
        <f>(1.732*0.92*6*265)/1000</f>
        <v>2.5335695999999999</v>
      </c>
      <c r="G253" s="217">
        <f>((F253+F254)/E253)</f>
        <v>0.28822517647058821</v>
      </c>
    </row>
    <row r="254" spans="1:8" ht="15.75" x14ac:dyDescent="0.25">
      <c r="A254" s="12"/>
      <c r="B254" s="46"/>
      <c r="C254" s="18" t="s">
        <v>81</v>
      </c>
      <c r="D254" s="46" t="s">
        <v>143</v>
      </c>
      <c r="E254" s="222"/>
      <c r="F254" s="177">
        <f>(1.732*0.92*6*145)/1000</f>
        <v>1.3862927999999999</v>
      </c>
      <c r="G254" s="219"/>
    </row>
    <row r="255" spans="1:8" ht="15.75" x14ac:dyDescent="0.25">
      <c r="A255" s="12"/>
      <c r="B255" s="46"/>
      <c r="C255" s="18" t="s">
        <v>78</v>
      </c>
      <c r="D255" s="46"/>
      <c r="E255" s="149" t="s">
        <v>78</v>
      </c>
      <c r="F255" s="149"/>
      <c r="G255" s="153"/>
    </row>
    <row r="256" spans="1:8" ht="15.75" x14ac:dyDescent="0.25">
      <c r="A256" s="12" t="s">
        <v>284</v>
      </c>
      <c r="B256" s="46" t="s">
        <v>285</v>
      </c>
      <c r="C256" s="18" t="s">
        <v>75</v>
      </c>
      <c r="D256" s="46" t="s">
        <v>153</v>
      </c>
      <c r="E256" s="220">
        <v>5.3</v>
      </c>
      <c r="F256" s="177">
        <f>(1.732*0.92*6*63)/1000</f>
        <v>0.60232031999999991</v>
      </c>
      <c r="G256" s="217">
        <f>((F257+F256)/E256)</f>
        <v>0.20023227169811322</v>
      </c>
    </row>
    <row r="257" spans="1:7" ht="16.5" thickBot="1" x14ac:dyDescent="0.3">
      <c r="A257" s="112"/>
      <c r="B257" s="104"/>
      <c r="C257" s="113" t="s">
        <v>81</v>
      </c>
      <c r="D257" s="104" t="s">
        <v>153</v>
      </c>
      <c r="E257" s="226"/>
      <c r="F257" s="177">
        <f>(1.732*0.92*6*48)/1000</f>
        <v>0.45891071999999999</v>
      </c>
      <c r="G257" s="231"/>
    </row>
    <row r="258" spans="1:7" ht="15.75" x14ac:dyDescent="0.25">
      <c r="A258" s="139"/>
      <c r="B258" s="23"/>
      <c r="C258" s="24"/>
      <c r="D258" s="23"/>
      <c r="E258" s="157"/>
      <c r="F258" s="157"/>
      <c r="G258" s="164"/>
    </row>
    <row r="259" spans="1:7" ht="15.75" x14ac:dyDescent="0.25">
      <c r="A259" s="139"/>
      <c r="B259" s="23"/>
      <c r="C259" s="24"/>
      <c r="D259" s="23"/>
      <c r="E259" s="157"/>
      <c r="F259" s="157"/>
      <c r="G259" s="164"/>
    </row>
    <row r="260" spans="1:7" ht="15.75" x14ac:dyDescent="0.25">
      <c r="A260" s="139" t="s">
        <v>108</v>
      </c>
      <c r="B260" s="23" t="s">
        <v>109</v>
      </c>
      <c r="C260" s="24" t="s">
        <v>110</v>
      </c>
      <c r="D260" s="140">
        <f>125+50+20+50+32+32+32+12.6</f>
        <v>353.6</v>
      </c>
      <c r="E260" s="162"/>
      <c r="F260" s="163"/>
      <c r="G260" s="31"/>
    </row>
    <row r="261" spans="1:7" ht="15.75" x14ac:dyDescent="0.25">
      <c r="A261" s="22"/>
      <c r="B261" s="23"/>
      <c r="C261" s="24"/>
      <c r="D261" s="23"/>
      <c r="E261" s="157"/>
      <c r="F261" s="157"/>
      <c r="G261" s="31"/>
    </row>
    <row r="262" spans="1:7" ht="16.5" thickBot="1" x14ac:dyDescent="0.3">
      <c r="A262" s="22"/>
      <c r="B262" s="23"/>
      <c r="C262" s="24" t="s">
        <v>78</v>
      </c>
      <c r="D262" s="23" t="s">
        <v>111</v>
      </c>
      <c r="E262" s="157"/>
      <c r="F262" s="157"/>
      <c r="G262" s="31"/>
    </row>
    <row r="263" spans="1:7" ht="15.75" x14ac:dyDescent="0.25">
      <c r="A263" s="106"/>
      <c r="B263" s="101"/>
      <c r="C263" s="102"/>
      <c r="D263" s="101"/>
      <c r="E263" s="166"/>
      <c r="F263" s="166"/>
      <c r="G263" s="167"/>
    </row>
    <row r="264" spans="1:7" ht="15.75" x14ac:dyDescent="0.25">
      <c r="A264" s="12" t="s">
        <v>286</v>
      </c>
      <c r="B264" s="13" t="s">
        <v>287</v>
      </c>
      <c r="C264" s="14" t="s">
        <v>75</v>
      </c>
      <c r="D264" s="13" t="s">
        <v>288</v>
      </c>
      <c r="E264" s="214">
        <v>8.5</v>
      </c>
      <c r="F264" s="177">
        <f>(1.732*0.92*10*135)/1000</f>
        <v>2.1511440000000004</v>
      </c>
      <c r="G264" s="217">
        <f>((F264+F265)/E264)</f>
        <v>0.63737600000000016</v>
      </c>
    </row>
    <row r="265" spans="1:7" ht="15.75" x14ac:dyDescent="0.25">
      <c r="A265" s="12"/>
      <c r="B265" s="46"/>
      <c r="C265" s="18" t="s">
        <v>81</v>
      </c>
      <c r="D265" s="46" t="s">
        <v>288</v>
      </c>
      <c r="E265" s="216"/>
      <c r="F265" s="177">
        <f>(1.732*0.92*10*205)/1000</f>
        <v>3.2665520000000003</v>
      </c>
      <c r="G265" s="219"/>
    </row>
    <row r="266" spans="1:7" ht="15.75" x14ac:dyDescent="0.25">
      <c r="A266" s="12"/>
      <c r="B266" s="46"/>
      <c r="C266" s="18" t="s">
        <v>78</v>
      </c>
      <c r="D266" s="46">
        <v>551</v>
      </c>
      <c r="E266" s="149" t="s">
        <v>78</v>
      </c>
      <c r="F266" s="149"/>
      <c r="G266" s="153"/>
    </row>
    <row r="267" spans="1:7" ht="15.75" x14ac:dyDescent="0.25">
      <c r="A267" s="12" t="s">
        <v>289</v>
      </c>
      <c r="B267" s="46" t="s">
        <v>290</v>
      </c>
      <c r="C267" s="18" t="s">
        <v>75</v>
      </c>
      <c r="D267" s="46" t="s">
        <v>291</v>
      </c>
      <c r="E267" s="149">
        <v>1.3</v>
      </c>
      <c r="F267" s="177">
        <f>(1.732*0.92*10*1)/1000</f>
        <v>1.5934400000000001E-2</v>
      </c>
      <c r="G267" s="153">
        <f>(F267/E267)</f>
        <v>1.225723076923077E-2</v>
      </c>
    </row>
    <row r="268" spans="1:7" ht="15.75" x14ac:dyDescent="0.25">
      <c r="A268" s="12"/>
      <c r="B268" s="46"/>
      <c r="C268" s="18" t="s">
        <v>78</v>
      </c>
      <c r="D268" s="46"/>
      <c r="E268" s="149" t="s">
        <v>78</v>
      </c>
      <c r="F268" s="149"/>
      <c r="G268" s="153"/>
    </row>
    <row r="269" spans="1:7" ht="15.75" x14ac:dyDescent="0.25">
      <c r="A269" s="12" t="s">
        <v>292</v>
      </c>
      <c r="B269" s="46" t="s">
        <v>293</v>
      </c>
      <c r="C269" s="18" t="s">
        <v>75</v>
      </c>
      <c r="D269" s="46" t="s">
        <v>291</v>
      </c>
      <c r="E269" s="220">
        <v>1.3</v>
      </c>
      <c r="F269" s="149">
        <v>0</v>
      </c>
      <c r="G269" s="217">
        <f>((F269+F270)/E269)</f>
        <v>0.5025464615384615</v>
      </c>
    </row>
    <row r="270" spans="1:7" ht="15.75" x14ac:dyDescent="0.25">
      <c r="A270" s="12"/>
      <c r="B270" s="46"/>
      <c r="C270" s="18" t="s">
        <v>81</v>
      </c>
      <c r="D270" s="46" t="s">
        <v>291</v>
      </c>
      <c r="E270" s="222"/>
      <c r="F270" s="177">
        <f>(1.732*0.92*10*41)/1000</f>
        <v>0.65331039999999996</v>
      </c>
      <c r="G270" s="219"/>
    </row>
    <row r="271" spans="1:7" ht="15.75" x14ac:dyDescent="0.25">
      <c r="A271" s="12"/>
      <c r="B271" s="46"/>
      <c r="C271" s="18" t="s">
        <v>78</v>
      </c>
      <c r="D271" s="46"/>
      <c r="E271" s="149" t="s">
        <v>78</v>
      </c>
      <c r="F271" s="149"/>
      <c r="G271" s="153"/>
    </row>
    <row r="272" spans="1:7" ht="15.75" x14ac:dyDescent="0.25">
      <c r="A272" s="12" t="s">
        <v>294</v>
      </c>
      <c r="B272" s="46" t="s">
        <v>295</v>
      </c>
      <c r="C272" s="18" t="s">
        <v>75</v>
      </c>
      <c r="D272" s="46" t="s">
        <v>296</v>
      </c>
      <c r="E272" s="220">
        <v>2.1</v>
      </c>
      <c r="F272" s="177">
        <f>(1.732*0.92*10*20)/1000</f>
        <v>0.31868799999999997</v>
      </c>
      <c r="G272" s="217">
        <f>((F272+F273)/E272)</f>
        <v>0.15175619047619046</v>
      </c>
    </row>
    <row r="273" spans="1:7" ht="15.75" x14ac:dyDescent="0.25">
      <c r="A273" s="12"/>
      <c r="B273" s="46"/>
      <c r="C273" s="18" t="s">
        <v>81</v>
      </c>
      <c r="D273" s="46" t="s">
        <v>296</v>
      </c>
      <c r="E273" s="222"/>
      <c r="F273" s="177">
        <f>(1.732*0.92*10*0)/1000</f>
        <v>0</v>
      </c>
      <c r="G273" s="219"/>
    </row>
    <row r="274" spans="1:7" ht="15.75" x14ac:dyDescent="0.25">
      <c r="A274" s="12"/>
      <c r="B274" s="46"/>
      <c r="C274" s="18" t="s">
        <v>78</v>
      </c>
      <c r="D274" s="46"/>
      <c r="E274" s="149" t="s">
        <v>78</v>
      </c>
      <c r="F274" s="149"/>
      <c r="G274" s="153"/>
    </row>
    <row r="275" spans="1:7" ht="15.75" x14ac:dyDescent="0.25">
      <c r="A275" s="12" t="s">
        <v>297</v>
      </c>
      <c r="B275" s="46" t="s">
        <v>298</v>
      </c>
      <c r="C275" s="18" t="s">
        <v>75</v>
      </c>
      <c r="D275" s="46" t="s">
        <v>291</v>
      </c>
      <c r="E275" s="220">
        <v>1.3</v>
      </c>
      <c r="F275" s="149">
        <v>0</v>
      </c>
      <c r="G275" s="217">
        <f>((F275+F276)/E275)</f>
        <v>0.20837292307692307</v>
      </c>
    </row>
    <row r="276" spans="1:7" ht="15.75" x14ac:dyDescent="0.25">
      <c r="A276" s="12"/>
      <c r="B276" s="46"/>
      <c r="C276" s="18" t="s">
        <v>81</v>
      </c>
      <c r="D276" s="46" t="s">
        <v>291</v>
      </c>
      <c r="E276" s="222"/>
      <c r="F276" s="177">
        <f>(1.732*0.92*10*17)/1000</f>
        <v>0.27088479999999998</v>
      </c>
      <c r="G276" s="219"/>
    </row>
    <row r="277" spans="1:7" ht="15.75" x14ac:dyDescent="0.25">
      <c r="A277" s="12" t="s">
        <v>292</v>
      </c>
      <c r="B277" s="46"/>
      <c r="C277" s="18" t="s">
        <v>78</v>
      </c>
      <c r="D277" s="46"/>
      <c r="E277" s="149" t="s">
        <v>78</v>
      </c>
      <c r="F277" s="149"/>
      <c r="G277" s="153"/>
    </row>
    <row r="278" spans="1:7" ht="15.75" x14ac:dyDescent="0.25">
      <c r="A278" s="12" t="s">
        <v>299</v>
      </c>
      <c r="B278" s="46" t="s">
        <v>300</v>
      </c>
      <c r="C278" s="18" t="s">
        <v>75</v>
      </c>
      <c r="D278" s="46" t="s">
        <v>231</v>
      </c>
      <c r="E278" s="149">
        <v>3.4</v>
      </c>
      <c r="F278" s="177">
        <f>(1.732*0.92*10*32)/1000</f>
        <v>0.50990080000000004</v>
      </c>
      <c r="G278" s="153">
        <f>((F278/E278))</f>
        <v>0.14997082352941177</v>
      </c>
    </row>
    <row r="279" spans="1:7" ht="15.75" x14ac:dyDescent="0.25">
      <c r="A279" s="12"/>
      <c r="B279" s="46"/>
      <c r="C279" s="18" t="s">
        <v>78</v>
      </c>
      <c r="D279" s="46"/>
      <c r="E279" s="149" t="s">
        <v>78</v>
      </c>
      <c r="F279" s="149"/>
      <c r="G279" s="153"/>
    </row>
    <row r="280" spans="1:7" ht="15.75" x14ac:dyDescent="0.25">
      <c r="A280" s="12" t="s">
        <v>301</v>
      </c>
      <c r="B280" s="46" t="s">
        <v>302</v>
      </c>
      <c r="C280" s="18" t="s">
        <v>75</v>
      </c>
      <c r="D280" s="46" t="s">
        <v>296</v>
      </c>
      <c r="E280" s="149">
        <v>2.1</v>
      </c>
      <c r="F280" s="177">
        <f>(1.732*0.92*10*27)/1000</f>
        <v>0.43022879999999997</v>
      </c>
      <c r="G280" s="153">
        <f>(F280/E280)</f>
        <v>0.2048708571428571</v>
      </c>
    </row>
    <row r="281" spans="1:7" ht="15.75" x14ac:dyDescent="0.25">
      <c r="A281" s="12"/>
      <c r="B281" s="46"/>
      <c r="C281" s="18" t="s">
        <v>78</v>
      </c>
      <c r="D281" s="46"/>
      <c r="E281" s="149" t="s">
        <v>78</v>
      </c>
      <c r="F281" s="149"/>
      <c r="G281" s="153"/>
    </row>
    <row r="282" spans="1:7" ht="15.75" x14ac:dyDescent="0.25">
      <c r="A282" s="12" t="s">
        <v>303</v>
      </c>
      <c r="B282" s="46" t="s">
        <v>304</v>
      </c>
      <c r="C282" s="18" t="s">
        <v>75</v>
      </c>
      <c r="D282" s="46" t="s">
        <v>193</v>
      </c>
      <c r="E282" s="149">
        <v>3.4</v>
      </c>
      <c r="F282" s="177">
        <f>(1.732*0.92*10*5)/1000</f>
        <v>7.9671999999999993E-2</v>
      </c>
      <c r="G282" s="153">
        <f>(F282/E282)</f>
        <v>2.3432941176470587E-2</v>
      </c>
    </row>
    <row r="283" spans="1:7" ht="15.75" x14ac:dyDescent="0.25">
      <c r="A283" s="12"/>
      <c r="B283" s="46"/>
      <c r="C283" s="18" t="s">
        <v>78</v>
      </c>
      <c r="D283" s="46"/>
      <c r="E283" s="149" t="s">
        <v>78</v>
      </c>
      <c r="F283" s="149"/>
      <c r="G283" s="153"/>
    </row>
    <row r="284" spans="1:7" ht="16.5" thickBot="1" x14ac:dyDescent="0.3">
      <c r="A284" s="112" t="s">
        <v>305</v>
      </c>
      <c r="B284" s="121" t="s">
        <v>306</v>
      </c>
      <c r="C284" s="128" t="s">
        <v>75</v>
      </c>
      <c r="D284" s="121" t="s">
        <v>166</v>
      </c>
      <c r="E284" s="173">
        <v>0.8</v>
      </c>
      <c r="F284" s="177">
        <f>(1.732*0.92*10*24)/1000</f>
        <v>0.38242560000000003</v>
      </c>
      <c r="G284" s="174">
        <f>(F284/E284)</f>
        <v>0.47803200000000001</v>
      </c>
    </row>
    <row r="285" spans="1:7" ht="15.75" x14ac:dyDescent="0.25">
      <c r="A285" s="22"/>
      <c r="B285" s="22"/>
      <c r="C285" s="141"/>
      <c r="D285" s="22"/>
      <c r="E285" s="141"/>
      <c r="F285" s="141"/>
      <c r="G285" s="30"/>
    </row>
    <row r="286" spans="1:7" ht="15.75" x14ac:dyDescent="0.25">
      <c r="A286" s="23" t="s">
        <v>108</v>
      </c>
      <c r="B286" s="23" t="s">
        <v>109</v>
      </c>
      <c r="C286" s="23" t="s">
        <v>110</v>
      </c>
      <c r="D286" s="142">
        <f>12.6+2.5+3.2+2+3.2+5+1.6+1</f>
        <v>31.1</v>
      </c>
      <c r="E286" s="114">
        <f>SUM(E262:E283)</f>
        <v>23.400000000000002</v>
      </c>
      <c r="F286" s="114"/>
      <c r="G286" s="105" t="s">
        <v>113</v>
      </c>
    </row>
    <row r="287" spans="1:7" ht="15.75" x14ac:dyDescent="0.25">
      <c r="A287" s="22"/>
      <c r="B287" s="22"/>
      <c r="C287" s="141"/>
      <c r="D287" s="22"/>
      <c r="E287" s="141"/>
      <c r="F287" s="141"/>
      <c r="G287" s="30"/>
    </row>
    <row r="288" spans="1:7" ht="15.75" x14ac:dyDescent="0.25">
      <c r="A288" s="23" t="s">
        <v>108</v>
      </c>
      <c r="B288" s="23" t="s">
        <v>109</v>
      </c>
      <c r="C288" s="23" t="s">
        <v>110</v>
      </c>
      <c r="D288" s="142">
        <f>12.6+2.5+3.2+2+3.2+5+1.6+1</f>
        <v>31.1</v>
      </c>
      <c r="E288" s="114">
        <f>SUM(E264:E286)</f>
        <v>47.600000000000009</v>
      </c>
      <c r="F288" s="114">
        <f>SUM(F264:F286)</f>
        <v>8.0787408000000003</v>
      </c>
      <c r="G288" s="105" t="s">
        <v>113</v>
      </c>
    </row>
    <row r="289" spans="1:7" ht="15.75" x14ac:dyDescent="0.25">
      <c r="A289" s="23"/>
      <c r="B289" s="23"/>
      <c r="C289" s="23"/>
      <c r="D289" s="23"/>
      <c r="E289" s="114"/>
      <c r="F289" s="114"/>
      <c r="G289" s="105"/>
    </row>
    <row r="290" spans="1:7" ht="15.75" x14ac:dyDescent="0.25">
      <c r="A290" s="23"/>
      <c r="B290" s="23"/>
      <c r="C290" s="23"/>
      <c r="D290" s="23"/>
      <c r="E290" s="114"/>
      <c r="F290" s="114"/>
      <c r="G290" s="105"/>
    </row>
  </sheetData>
  <mergeCells count="147">
    <mergeCell ref="E269:E270"/>
    <mergeCell ref="G269:G270"/>
    <mergeCell ref="E272:E273"/>
    <mergeCell ref="G272:G273"/>
    <mergeCell ref="E275:E276"/>
    <mergeCell ref="G275:G276"/>
    <mergeCell ref="E253:E254"/>
    <mergeCell ref="G253:G254"/>
    <mergeCell ref="E256:E257"/>
    <mergeCell ref="G256:G257"/>
    <mergeCell ref="E264:E265"/>
    <mergeCell ref="G264:G265"/>
    <mergeCell ref="E244:E245"/>
    <mergeCell ref="G244:G245"/>
    <mergeCell ref="E247:E248"/>
    <mergeCell ref="G247:G248"/>
    <mergeCell ref="E250:E251"/>
    <mergeCell ref="G250:G251"/>
    <mergeCell ref="E238:E239"/>
    <mergeCell ref="G238:G239"/>
    <mergeCell ref="E241:E242"/>
    <mergeCell ref="G241:G242"/>
    <mergeCell ref="E228:E230"/>
    <mergeCell ref="G228:G230"/>
    <mergeCell ref="E222:E223"/>
    <mergeCell ref="G222:G223"/>
    <mergeCell ref="E224:E225"/>
    <mergeCell ref="G224:G225"/>
    <mergeCell ref="E226:E227"/>
    <mergeCell ref="G226:G227"/>
    <mergeCell ref="E201:E202"/>
    <mergeCell ref="G201:G202"/>
    <mergeCell ref="E204:E205"/>
    <mergeCell ref="G204:G205"/>
    <mergeCell ref="E207:E212"/>
    <mergeCell ref="F207:F209"/>
    <mergeCell ref="F210:F212"/>
    <mergeCell ref="G207:G212"/>
    <mergeCell ref="E192:E193"/>
    <mergeCell ref="G192:G193"/>
    <mergeCell ref="E195:E196"/>
    <mergeCell ref="G195:G196"/>
    <mergeCell ref="E198:E199"/>
    <mergeCell ref="G198:G199"/>
    <mergeCell ref="E178:E179"/>
    <mergeCell ref="G178:G179"/>
    <mergeCell ref="E181:E186"/>
    <mergeCell ref="F181:F183"/>
    <mergeCell ref="F184:F186"/>
    <mergeCell ref="G181:G186"/>
    <mergeCell ref="E168:E173"/>
    <mergeCell ref="F168:F170"/>
    <mergeCell ref="F171:F173"/>
    <mergeCell ref="G168:G173"/>
    <mergeCell ref="E175:E176"/>
    <mergeCell ref="G175:G176"/>
    <mergeCell ref="E156:E157"/>
    <mergeCell ref="G156:G157"/>
    <mergeCell ref="E159:E160"/>
    <mergeCell ref="G159:G160"/>
    <mergeCell ref="E162:E163"/>
    <mergeCell ref="G162:G163"/>
    <mergeCell ref="E142:E147"/>
    <mergeCell ref="F142:F144"/>
    <mergeCell ref="F145:F147"/>
    <mergeCell ref="G142:G147"/>
    <mergeCell ref="E149:E154"/>
    <mergeCell ref="F149:F151"/>
    <mergeCell ref="F152:F154"/>
    <mergeCell ref="G149:G154"/>
    <mergeCell ref="E131:E132"/>
    <mergeCell ref="G131:G132"/>
    <mergeCell ref="E134:E135"/>
    <mergeCell ref="G134:G135"/>
    <mergeCell ref="E137:E138"/>
    <mergeCell ref="G137:G138"/>
    <mergeCell ref="E121:E126"/>
    <mergeCell ref="F121:F123"/>
    <mergeCell ref="F124:F126"/>
    <mergeCell ref="G121:G126"/>
    <mergeCell ref="E128:E129"/>
    <mergeCell ref="G128:G129"/>
    <mergeCell ref="E108:E109"/>
    <mergeCell ref="G108:G109"/>
    <mergeCell ref="E111:E118"/>
    <mergeCell ref="F111:F114"/>
    <mergeCell ref="F115:F118"/>
    <mergeCell ref="G111:G118"/>
    <mergeCell ref="E99:E100"/>
    <mergeCell ref="G99:G100"/>
    <mergeCell ref="E102:E103"/>
    <mergeCell ref="G102:G103"/>
    <mergeCell ref="E105:E106"/>
    <mergeCell ref="G105:G106"/>
    <mergeCell ref="G83:G88"/>
    <mergeCell ref="E90:E91"/>
    <mergeCell ref="E93:E94"/>
    <mergeCell ref="G90:G91"/>
    <mergeCell ref="G93:G94"/>
    <mergeCell ref="E96:E97"/>
    <mergeCell ref="G96:G97"/>
    <mergeCell ref="F79:F81"/>
    <mergeCell ref="G76:G81"/>
    <mergeCell ref="E79:E81"/>
    <mergeCell ref="F83:F85"/>
    <mergeCell ref="F86:F88"/>
    <mergeCell ref="E83:E85"/>
    <mergeCell ref="E86:E88"/>
    <mergeCell ref="E62:E63"/>
    <mergeCell ref="G62:G63"/>
    <mergeCell ref="E69:E70"/>
    <mergeCell ref="G69:G70"/>
    <mergeCell ref="E76:E78"/>
    <mergeCell ref="F76:F78"/>
    <mergeCell ref="E51:E52"/>
    <mergeCell ref="G51:G52"/>
    <mergeCell ref="E54:E55"/>
    <mergeCell ref="G54:G55"/>
    <mergeCell ref="E59:E60"/>
    <mergeCell ref="G59:G60"/>
    <mergeCell ref="E9:E12"/>
    <mergeCell ref="F9:F10"/>
    <mergeCell ref="F11:F12"/>
    <mergeCell ref="G9:G12"/>
    <mergeCell ref="E42:E43"/>
    <mergeCell ref="G42:G43"/>
    <mergeCell ref="E45:E46"/>
    <mergeCell ref="G45:G46"/>
    <mergeCell ref="E48:E49"/>
    <mergeCell ref="G48:G49"/>
    <mergeCell ref="E28:E33"/>
    <mergeCell ref="E35:E40"/>
    <mergeCell ref="F28:F30"/>
    <mergeCell ref="F31:F33"/>
    <mergeCell ref="G28:G33"/>
    <mergeCell ref="F35:F37"/>
    <mergeCell ref="F38:F40"/>
    <mergeCell ref="G35:G40"/>
    <mergeCell ref="M22:P22"/>
    <mergeCell ref="E14:E19"/>
    <mergeCell ref="F14:F16"/>
    <mergeCell ref="F17:F19"/>
    <mergeCell ref="G14:G19"/>
    <mergeCell ref="F21:F23"/>
    <mergeCell ref="F24:F26"/>
    <mergeCell ref="E21:E26"/>
    <mergeCell ref="G21:G2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Лист3 (2)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 по сетям</dc:creator>
  <cp:lastModifiedBy>Акжол Мулдабеков</cp:lastModifiedBy>
  <cp:lastPrinted>2024-10-30T05:05:57Z</cp:lastPrinted>
  <dcterms:created xsi:type="dcterms:W3CDTF">2015-06-05T18:19:34Z</dcterms:created>
  <dcterms:modified xsi:type="dcterms:W3CDTF">2026-08-07T12:21:46Z</dcterms:modified>
</cp:coreProperties>
</file>